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fedorenko\Desktop\МП БГС 17-24\20. МП БГС 17-24 в ред. февраля\Постановление от февраля\"/>
    </mc:Choice>
  </mc:AlternateContent>
  <xr:revisionPtr revIDLastSave="0" documentId="13_ncr:1_{7B61E9FD-3798-432F-BD92-017E9F6D0FC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3" sheetId="3" r:id="rId1"/>
  </sheets>
  <definedNames>
    <definedName name="_xlnm.Print_Titles" localSheetId="0">Лист3!$17:$17</definedName>
    <definedName name="_xlnm.Print_Area" localSheetId="0">Лист3!$A$5:$O$99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3" l="1"/>
  <c r="I45" i="3"/>
  <c r="I40" i="3" l="1"/>
  <c r="I23" i="3"/>
  <c r="I41" i="3" l="1"/>
  <c r="I76" i="3" l="1"/>
  <c r="I89" i="3"/>
  <c r="I36" i="3" l="1"/>
  <c r="E20" i="3"/>
  <c r="M50" i="3" l="1"/>
  <c r="L50" i="3"/>
  <c r="K50" i="3"/>
  <c r="J50" i="3"/>
  <c r="I98" i="3"/>
  <c r="E98" i="3" s="1"/>
  <c r="J52" i="3"/>
  <c r="I52" i="3"/>
  <c r="I85" i="3" l="1"/>
  <c r="I33" i="3"/>
  <c r="I80" i="3"/>
  <c r="I66" i="3"/>
  <c r="E61" i="3" l="1"/>
  <c r="E69" i="3"/>
  <c r="I38" i="3" l="1"/>
  <c r="K76" i="3" l="1"/>
  <c r="J76" i="3"/>
  <c r="J40" i="3"/>
  <c r="I22" i="3" l="1"/>
  <c r="H33" i="3"/>
  <c r="I58" i="3" l="1"/>
  <c r="H41" i="3" l="1"/>
  <c r="H23" i="3" l="1"/>
  <c r="H22" i="3"/>
  <c r="H40" i="3"/>
  <c r="H38" i="3" l="1"/>
  <c r="H47" i="3" l="1"/>
  <c r="E46" i="3" l="1"/>
  <c r="M47" i="3"/>
  <c r="L47" i="3"/>
  <c r="K47" i="3"/>
  <c r="J47" i="3"/>
  <c r="I47" i="3"/>
  <c r="F47" i="3"/>
  <c r="H21" i="3"/>
  <c r="E21" i="3" s="1"/>
  <c r="H52" i="3"/>
  <c r="E90" i="3" l="1"/>
  <c r="E88" i="3"/>
  <c r="M91" i="3" l="1"/>
  <c r="M92" i="3" s="1"/>
  <c r="L91" i="3"/>
  <c r="L92" i="3" s="1"/>
  <c r="M82" i="3" l="1"/>
  <c r="M83" i="3" s="1"/>
  <c r="L82" i="3"/>
  <c r="L83" i="3" s="1"/>
  <c r="E76" i="3"/>
  <c r="M77" i="3"/>
  <c r="M78" i="3" s="1"/>
  <c r="L77" i="3"/>
  <c r="L78" i="3" s="1"/>
  <c r="M70" i="3"/>
  <c r="M71" i="3" s="1"/>
  <c r="L70" i="3"/>
  <c r="L71" i="3" s="1"/>
  <c r="M63" i="3"/>
  <c r="M64" i="3" s="1"/>
  <c r="L63" i="3"/>
  <c r="L64" i="3" s="1"/>
  <c r="E54" i="3"/>
  <c r="M55" i="3"/>
  <c r="M56" i="3" s="1"/>
  <c r="L55" i="3"/>
  <c r="L56" i="3" s="1"/>
  <c r="E43" i="3"/>
  <c r="M34" i="3"/>
  <c r="L34" i="3"/>
  <c r="M35" i="3" l="1"/>
  <c r="M95" i="3"/>
  <c r="M96" i="3" s="1"/>
  <c r="L35" i="3"/>
  <c r="L95" i="3"/>
  <c r="L96" i="3" s="1"/>
  <c r="E33" i="3"/>
  <c r="H85" i="3" l="1"/>
  <c r="E85" i="3" s="1"/>
  <c r="G42" i="3" l="1"/>
  <c r="I35" i="3" l="1"/>
  <c r="J35" i="3"/>
  <c r="K77" i="3" l="1"/>
  <c r="J77" i="3"/>
  <c r="I77" i="3"/>
  <c r="H77" i="3"/>
  <c r="H63" i="3" l="1"/>
  <c r="E62" i="3"/>
  <c r="F63" i="3"/>
  <c r="J63" i="3"/>
  <c r="I63" i="3"/>
  <c r="H35" i="3"/>
  <c r="F34" i="3"/>
  <c r="J34" i="3"/>
  <c r="I34" i="3"/>
  <c r="H34" i="3"/>
  <c r="G89" i="3"/>
  <c r="E89" i="3" s="1"/>
  <c r="E52" i="3" l="1"/>
  <c r="H66" i="3"/>
  <c r="G38" i="3" l="1"/>
  <c r="E38" i="3" l="1"/>
  <c r="G58" i="3"/>
  <c r="G25" i="3"/>
  <c r="G23" i="3"/>
  <c r="G63" i="3" l="1"/>
  <c r="G22" i="3"/>
  <c r="E22" i="3" s="1"/>
  <c r="E80" i="3" l="1"/>
  <c r="K60" i="3"/>
  <c r="E60" i="3" s="1"/>
  <c r="E58" i="3"/>
  <c r="E23" i="3"/>
  <c r="K68" i="3"/>
  <c r="G66" i="3"/>
  <c r="E66" i="3" l="1"/>
  <c r="K35" i="3"/>
  <c r="K34" i="3"/>
  <c r="K63" i="3"/>
  <c r="G75" i="3" l="1"/>
  <c r="G39" i="3" l="1"/>
  <c r="E39" i="3" l="1"/>
  <c r="G81" i="3"/>
  <c r="E81" i="3" s="1"/>
  <c r="G68" i="3" l="1"/>
  <c r="E68" i="3" s="1"/>
  <c r="E40" i="3" l="1"/>
  <c r="F91" i="3"/>
  <c r="J91" i="3"/>
  <c r="I91" i="3"/>
  <c r="H91" i="3"/>
  <c r="K91" i="3"/>
  <c r="G91" i="3"/>
  <c r="G73" i="3" l="1"/>
  <c r="G77" i="3" s="1"/>
  <c r="G36" i="3" l="1"/>
  <c r="E32" i="3"/>
  <c r="E31" i="3"/>
  <c r="G94" i="3" l="1"/>
  <c r="H94" i="3"/>
  <c r="I94" i="3"/>
  <c r="J94" i="3"/>
  <c r="K94" i="3"/>
  <c r="F94" i="3"/>
  <c r="G93" i="3"/>
  <c r="H93" i="3"/>
  <c r="I93" i="3"/>
  <c r="I97" i="3" s="1"/>
  <c r="J93" i="3"/>
  <c r="K93" i="3"/>
  <c r="F93" i="3"/>
  <c r="F97" i="3" s="1"/>
  <c r="K97" i="3"/>
  <c r="J97" i="3"/>
  <c r="G97" i="3"/>
  <c r="E87" i="3"/>
  <c r="E86" i="3"/>
  <c r="I49" i="3"/>
  <c r="J49" i="3"/>
  <c r="K49" i="3"/>
  <c r="H49" i="3"/>
  <c r="K48" i="3"/>
  <c r="J48" i="3"/>
  <c r="I48" i="3"/>
  <c r="I50" i="3" s="1"/>
  <c r="H48" i="3"/>
  <c r="G48" i="3"/>
  <c r="G98" i="3" s="1"/>
  <c r="F35" i="3"/>
  <c r="H36" i="3"/>
  <c r="J36" i="3"/>
  <c r="K36" i="3"/>
  <c r="F36" i="3"/>
  <c r="E24" i="3"/>
  <c r="E30" i="3"/>
  <c r="E29" i="3"/>
  <c r="H97" i="3" l="1"/>
  <c r="H92" i="3"/>
  <c r="E48" i="3"/>
  <c r="G92" i="3"/>
  <c r="E94" i="3"/>
  <c r="E97" i="3"/>
  <c r="E93" i="3"/>
  <c r="H99" i="3"/>
  <c r="J99" i="3"/>
  <c r="F99" i="3"/>
  <c r="K99" i="3"/>
  <c r="I99" i="3"/>
  <c r="E36" i="3"/>
  <c r="K92" i="3"/>
  <c r="K55" i="3"/>
  <c r="K56" i="3" s="1"/>
  <c r="E67" i="3"/>
  <c r="E59" i="3"/>
  <c r="E53" i="3"/>
  <c r="E45" i="3"/>
  <c r="E42" i="3"/>
  <c r="E41" i="3"/>
  <c r="J82" i="3"/>
  <c r="J83" i="3" s="1"/>
  <c r="J78" i="3"/>
  <c r="J70" i="3"/>
  <c r="J71" i="3" s="1"/>
  <c r="J64" i="3"/>
  <c r="J55" i="3"/>
  <c r="J56" i="3" s="1"/>
  <c r="E70" i="3" l="1"/>
  <c r="J95" i="3"/>
  <c r="J96" i="3" s="1"/>
  <c r="K64" i="3"/>
  <c r="K70" i="3"/>
  <c r="K71" i="3" s="1"/>
  <c r="K82" i="3"/>
  <c r="K83" i="3" s="1"/>
  <c r="J92" i="3"/>
  <c r="K78" i="3"/>
  <c r="G19" i="3"/>
  <c r="G34" i="3" l="1"/>
  <c r="E19" i="3"/>
  <c r="G35" i="3"/>
  <c r="E35" i="3" s="1"/>
  <c r="K95" i="3"/>
  <c r="K96" i="3" s="1"/>
  <c r="F98" i="3"/>
  <c r="I92" i="3"/>
  <c r="F92" i="3"/>
  <c r="I82" i="3"/>
  <c r="I83" i="3" s="1"/>
  <c r="H82" i="3"/>
  <c r="H83" i="3" s="1"/>
  <c r="G82" i="3"/>
  <c r="G83" i="3" s="1"/>
  <c r="F82" i="3"/>
  <c r="F83" i="3" s="1"/>
  <c r="E82" i="3"/>
  <c r="I78" i="3"/>
  <c r="H78" i="3"/>
  <c r="F75" i="3"/>
  <c r="E75" i="3" s="1"/>
  <c r="F74" i="3"/>
  <c r="I70" i="3"/>
  <c r="I71" i="3" s="1"/>
  <c r="H70" i="3"/>
  <c r="H71" i="3" s="1"/>
  <c r="G70" i="3"/>
  <c r="G71" i="3" s="1"/>
  <c r="F70" i="3"/>
  <c r="F71" i="3" s="1"/>
  <c r="I64" i="3"/>
  <c r="H64" i="3"/>
  <c r="F64" i="3"/>
  <c r="I55" i="3"/>
  <c r="I56" i="3" s="1"/>
  <c r="H55" i="3"/>
  <c r="H56" i="3" s="1"/>
  <c r="G55" i="3"/>
  <c r="G56" i="3" s="1"/>
  <c r="F55" i="3"/>
  <c r="F56" i="3" s="1"/>
  <c r="G49" i="3"/>
  <c r="E49" i="3" s="1"/>
  <c r="H50" i="3"/>
  <c r="F50" i="3"/>
  <c r="G44" i="3"/>
  <c r="E28" i="3"/>
  <c r="E27" i="3"/>
  <c r="E26" i="3"/>
  <c r="E25" i="3"/>
  <c r="E71" i="3" l="1"/>
  <c r="E44" i="3"/>
  <c r="E47" i="3" s="1"/>
  <c r="E50" i="3" s="1"/>
  <c r="G47" i="3"/>
  <c r="E83" i="3"/>
  <c r="E56" i="3"/>
  <c r="E34" i="3"/>
  <c r="E74" i="3"/>
  <c r="F77" i="3"/>
  <c r="E91" i="3"/>
  <c r="E92" i="3" s="1"/>
  <c r="G99" i="3"/>
  <c r="E99" i="3" s="1"/>
  <c r="G64" i="3"/>
  <c r="E64" i="3" s="1"/>
  <c r="G78" i="3"/>
  <c r="E73" i="3"/>
  <c r="G50" i="3"/>
  <c r="E55" i="3"/>
  <c r="H95" i="3"/>
  <c r="H96" i="3" s="1"/>
  <c r="I95" i="3"/>
  <c r="I96" i="3" s="1"/>
  <c r="E63" i="3" l="1"/>
  <c r="E77" i="3"/>
  <c r="G95" i="3"/>
  <c r="G96" i="3" s="1"/>
  <c r="F78" i="3"/>
  <c r="E78" i="3" s="1"/>
  <c r="F95" i="3"/>
  <c r="F96" i="3" s="1"/>
  <c r="E95" i="3" l="1"/>
  <c r="E96" i="3" l="1"/>
</calcChain>
</file>

<file path=xl/sharedStrings.xml><?xml version="1.0" encoding="utf-8"?>
<sst xmlns="http://schemas.openxmlformats.org/spreadsheetml/2006/main" count="308" uniqueCount="163">
  <si>
    <t>№ п/п</t>
  </si>
  <si>
    <t>Наименование мероприятия</t>
  </si>
  <si>
    <t>Объем финансирования по годам (тыс.руб.)</t>
  </si>
  <si>
    <t>Ответственный за выполнение мероприятия</t>
  </si>
  <si>
    <t>Ожидаемый результат</t>
  </si>
  <si>
    <t>ПЕРЕЧЕНЬ</t>
  </si>
  <si>
    <t>1.1.</t>
  </si>
  <si>
    <t>1.2.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</si>
  <si>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</si>
  <si>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</si>
  <si>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</si>
  <si>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</si>
  <si>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</si>
  <si>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</si>
  <si>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</si>
  <si>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</si>
  <si>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</si>
  <si>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6.1.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</si>
  <si>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</si>
  <si>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</si>
  <si>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</si>
  <si>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</si>
  <si>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</si>
  <si>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</si>
  <si>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</si>
  <si>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2.2.</t>
  </si>
  <si>
    <t>2.3.</t>
  </si>
  <si>
    <t>2.4.</t>
  </si>
  <si>
    <t>2.5.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</si>
  <si>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</si>
  <si>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</si>
  <si>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</si>
  <si>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</si>
  <si>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</si>
  <si>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</si>
  <si>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</si>
  <si>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</si>
  <si>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</si>
  <si>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</si>
  <si>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Бесперебойное освещение города в вечернее и ночное время суток с коэффициентом горения светильников не менее, чем 99%, обеспечение безопасного движения транспортных средств и пешеходов в вечернее и ночное время суток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</si>
  <si>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</si>
  <si>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</si>
  <si>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</si>
  <si>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Итого по разделу 7: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</si>
  <si>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</si>
  <si>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</si>
  <si>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</si>
  <si>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</si>
  <si>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 xml:space="preserve">                             </t>
  </si>
  <si>
    <t xml:space="preserve">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</si>
  <si>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</si>
  <si>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</si>
  <si>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разделу 1, в т.ч.:</t>
  </si>
  <si>
    <t>Итого по разделу 2, в т. ч.:</t>
  </si>
  <si>
    <t>Итого по разделу 3, в т. ч.:</t>
  </si>
  <si>
    <t>Итого по разделу 4, в т.ч.:</t>
  </si>
  <si>
    <t>Итого по разделу 5, в т.ч.:</t>
  </si>
  <si>
    <t>Итого по разделу 6, в т.ч.: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</si>
  <si>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</si>
  <si>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</si>
  <si>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</si>
  <si>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</si>
  <si>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</si>
  <si>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</si>
  <si>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</si>
  <si>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 xml:space="preserve">"Благоустроенный город Сертолово" 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</si>
  <si>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</si>
  <si>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</si>
  <si>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</si>
  <si>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</si>
  <si>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</si>
  <si>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</si>
  <si>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1.3.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</si>
  <si>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</si>
  <si>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</si>
  <si>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1.4.</t>
  </si>
  <si>
    <t>2017 г.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</si>
  <si>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</si>
  <si>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</si>
  <si>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</si>
  <si>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 xml:space="preserve"> МЕРОПРИЯТИЙ ПО РЕАЛИЗАЦИИ МУНИЦИПАЛЬНОЙ ПРОГРАММЫ МО СЕРТОЛОВО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</si>
  <si>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</si>
  <si>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</si>
  <si>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</si>
  <si>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</si>
  <si>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</si>
  <si>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</si>
  <si>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2.6.</t>
  </si>
  <si>
    <t>Проектирование участков улично-дорожной сети</t>
  </si>
  <si>
    <t>1.5.</t>
  </si>
  <si>
    <t>1.6.</t>
  </si>
  <si>
    <t>Бюджет ЛО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</si>
  <si>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</si>
  <si>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</si>
  <si>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</si>
  <si>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5.4.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</si>
  <si>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</si>
  <si>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</si>
  <si>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>1.7.</t>
  </si>
  <si>
    <t>1.8.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</si>
  <si>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</si>
  <si>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</si>
  <si>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</si>
  <si>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2017-2018 гг.</t>
  </si>
  <si>
    <t>2018 г.</t>
  </si>
  <si>
    <t>Обеспечение безопасности и здоровья граждан, улучшение внешнего облика города</t>
  </si>
  <si>
    <r>
      <t xml:space="preserve">                              от </t>
    </r>
    <r>
      <rPr>
        <u/>
        <sz val="10"/>
        <color indexed="10"/>
        <rFont val="Arial"/>
        <family val="1"/>
        <charset val="204"/>
      </rPr>
      <t xml:space="preserve">                              </t>
    </r>
    <r>
      <rPr>
        <sz val="10"/>
        <color indexed="10"/>
        <rFont val="Arial"/>
        <family val="1"/>
        <charset val="204"/>
      </rPr>
      <t xml:space="preserve">№ </t>
    </r>
    <r>
      <rPr>
        <u/>
        <sz val="10"/>
        <color indexed="10"/>
        <rFont val="Arial"/>
        <family val="1"/>
        <charset val="204"/>
      </rPr>
      <t xml:space="preserve">   </t>
    </r>
  </si>
  <si>
    <r>
      <t xml:space="preserve">Раздел 1. </t>
    </r>
    <r>
      <rPr>
        <sz val="10"/>
        <rFont val="Times New Roman"/>
        <family val="1"/>
        <charset val="204"/>
      </rPr>
      <t xml:space="preserve">  Благоустройство территории города Сертолово </t>
    </r>
  </si>
  <si>
    <r>
      <t xml:space="preserve">Раздел 2. </t>
    </r>
    <r>
      <rPr>
        <sz val="10"/>
        <rFont val="Times New Roman"/>
        <family val="1"/>
        <charset val="204"/>
      </rPr>
      <t xml:space="preserve"> Устройство, ремонт и содержание элементов улично-дорожной сети и технических средств организации дорожного движения на территории города Сертолово     </t>
    </r>
  </si>
  <si>
    <r>
      <t xml:space="preserve">Раздел 3. </t>
    </r>
    <r>
      <rPr>
        <sz val="10"/>
        <rFont val="Times New Roman"/>
        <family val="1"/>
        <charset val="204"/>
      </rPr>
      <t xml:space="preserve"> Организация санитарного содержания улично-дорожной сети на территории города Сертолово</t>
    </r>
  </si>
  <si>
    <r>
      <t xml:space="preserve">Раздел 4. </t>
    </r>
    <r>
      <rPr>
        <sz val="10"/>
        <rFont val="Times New Roman"/>
        <family val="1"/>
        <charset val="204"/>
      </rPr>
      <t xml:space="preserve"> Организация озеленения территории города Сертолово</t>
    </r>
  </si>
  <si>
    <r>
      <t xml:space="preserve"> Раздел 5. </t>
    </r>
    <r>
      <rPr>
        <sz val="10"/>
        <rFont val="Times New Roman"/>
        <family val="1"/>
        <charset val="204"/>
      </rPr>
      <t xml:space="preserve"> Организация санитарного содержания города Сертолово</t>
    </r>
  </si>
  <si>
    <r>
      <t xml:space="preserve"> Раздел 6. </t>
    </r>
    <r>
      <rPr>
        <sz val="10"/>
        <rFont val="Times New Roman"/>
        <family val="1"/>
        <charset val="204"/>
      </rPr>
      <t xml:space="preserve"> Создание условий для массового отдыха жителей города Сертолово</t>
    </r>
  </si>
  <si>
    <r>
      <t xml:space="preserve">     </t>
    </r>
    <r>
      <rPr>
        <b/>
        <sz val="10"/>
        <rFont val="Times New Roman"/>
        <family val="1"/>
        <charset val="204"/>
      </rPr>
      <t xml:space="preserve">   Раздел 7. </t>
    </r>
    <r>
      <rPr>
        <sz val="10"/>
        <rFont val="Times New Roman"/>
        <family val="1"/>
        <charset val="204"/>
      </rPr>
      <t>Организация уличного освещения  города Сертолово</t>
    </r>
  </si>
  <si>
    <r>
      <t xml:space="preserve">Раздел 8. </t>
    </r>
    <r>
      <rPr>
        <sz val="10"/>
        <rFont val="Times New Roman"/>
        <family val="1"/>
        <charset val="204"/>
      </rPr>
      <t>Формирование комфортной городской среды</t>
    </r>
  </si>
  <si>
    <t>8.1.</t>
  </si>
  <si>
    <t>Благоустройство общественных территорий города</t>
  </si>
  <si>
    <t>8.3.</t>
  </si>
  <si>
    <t>Разработка дизайн-проектов благоустройства общественных и дворовых территорий города</t>
  </si>
  <si>
    <t>Итого по разделу 8, в т.ч.</t>
  </si>
  <si>
    <t>Обеспечение условий для комфортного культурного отдыха и времяпрепровождения жителей города</t>
  </si>
  <si>
    <t>8.2.</t>
  </si>
  <si>
    <t>Благоустройство дворовых территорий города</t>
  </si>
  <si>
    <t>1.9.</t>
  </si>
  <si>
    <t>МУ "Оказание услуг "Развитие"</t>
  </si>
  <si>
    <t>Бюджет РФ</t>
  </si>
  <si>
    <t>1.10.</t>
  </si>
  <si>
    <t>Устройство цветочной клумбы в районе д. 6 мкр. Черная Речка в г. Сертолово</t>
  </si>
  <si>
    <t>"Формирование и обустройство объекта внешнего благоустройства в районе д. 4, 7 мкр. Черная Речка в г. Сертолово</t>
  </si>
  <si>
    <t>8.4.</t>
  </si>
  <si>
    <t>Разработка паспортов благоустройства общественных и дворовых территорий города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</si>
  <si>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</si>
  <si>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</si>
  <si>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</si>
  <si>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</si>
  <si>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</si>
  <si>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</si>
  <si>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1.11</t>
  </si>
  <si>
    <t>2019 г.</t>
  </si>
  <si>
    <t>4.5</t>
  </si>
  <si>
    <t>Посадка деревьев на территории города Сертолово</t>
  </si>
  <si>
    <t>6.4</t>
  </si>
  <si>
    <t>Подготовка и оформление территории города на период проведения праздничных мероприятий</t>
  </si>
  <si>
    <t>2017-2019 гг.</t>
  </si>
  <si>
    <t>2018-2019 гг.</t>
  </si>
  <si>
    <t>2017-2021 гг.</t>
  </si>
  <si>
    <t>Обустройство и содержание общественных территорий и пешеходных зон города Сертолово</t>
  </si>
  <si>
    <t>2017-2024 гг.</t>
  </si>
  <si>
    <t>2019 - 2024 гг.</t>
  </si>
  <si>
    <t>2019-2024 гг.</t>
  </si>
  <si>
    <t>2.7.</t>
  </si>
  <si>
    <t>2019-2020 гг.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</si>
  <si>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</si>
  <si>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2017-2019, 2021-2022 гг.</t>
  </si>
  <si>
    <t>2017-2022 гг.</t>
  </si>
  <si>
    <t>2018-2019 г.</t>
  </si>
  <si>
    <t>2018-2020 гг.</t>
  </si>
  <si>
    <t>2018-2022 гг.</t>
  </si>
  <si>
    <t>2018-2020,
2023-2024 гг.</t>
  </si>
  <si>
    <t>2023-2024 гг.</t>
  </si>
  <si>
    <t>2021-2024 гг.</t>
  </si>
  <si>
    <t>2020 г.</t>
  </si>
  <si>
    <t>ПРИЛОЖЕНИЕ №1
к постановлению администрации
МО Сертолово
от "27" марта 2020 г. № 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</si>
</sst>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</font>
    <font>
      <u/>
      <sz val="10"/>
      <color indexed="10"/>
      <name val="Arial"/>
      <family val="1"/>
      <charset val="204"/>
    </font>
    <font>
      <sz val="10"/>
      <color indexed="10"/>
      <name val="Arial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Times New Roman"/>
      <family val="1"/>
      <charset val="204"/>
      <scheme val="minor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sz val="9"/>
      <name val="Times New Roman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3" fillId="0" borderId="0" xfId="0" applyFont="1"/>
    <xf numFmtId="0" fontId="3" fillId="0" borderId="0" xfId="0" applyFont="1"/>
    <xf numFmtId="0" fontId="4" fillId="0" borderId="0" xfId="0" applyFont="1"/>
    <xf numFmtId="0" fontId="1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/>
    <xf numFmtId="0" fontId="10" fillId="0" borderId="0" xfId="0" applyFont="1"/>
    <xf numFmtId="0" fontId="17" fillId="0" borderId="0" xfId="0" applyFont="1" applyFill="1"/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/>
    </xf>
    <xf numFmtId="16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164" fontId="18" fillId="0" borderId="6" xfId="0" applyNumberFormat="1" applyFont="1" applyFill="1" applyBorder="1" applyAlignment="1">
      <alignment horizontal="center" vertical="center" wrapText="1"/>
    </xf>
    <xf numFmtId="16" fontId="15" fillId="0" borderId="6" xfId="0" quotePrefix="1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164" fontId="15" fillId="0" borderId="2" xfId="0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16" fontId="15" fillId="0" borderId="7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4" fontId="15" fillId="0" borderId="2" xfId="0" applyNumberFormat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164" fontId="18" fillId="0" borderId="9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16" fontId="15" fillId="0" borderId="7" xfId="0" quotePrefix="1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8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top" wrapText="1"/>
    </xf>
    <xf numFmtId="0" fontId="15" fillId="0" borderId="7" xfId="0" quotePrefix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4" fillId="0" borderId="0" xfId="0" applyFont="1" applyFill="1"/>
    <xf numFmtId="0" fontId="15" fillId="0" borderId="2" xfId="0" applyFont="1" applyFill="1" applyBorder="1"/>
    <xf numFmtId="164" fontId="18" fillId="0" borderId="10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0" fontId="15" fillId="0" borderId="1" xfId="0" applyFont="1" applyFill="1" applyBorder="1"/>
    <xf numFmtId="0" fontId="18" fillId="0" borderId="1" xfId="0" applyFont="1" applyFill="1" applyBorder="1" applyAlignment="1">
      <alignment horizontal="left" vertical="center"/>
    </xf>
    <xf numFmtId="0" fontId="15" fillId="0" borderId="5" xfId="0" applyFont="1" applyFill="1" applyBorder="1"/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/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left" vertical="center" wrapText="1"/>
    </xf>
    <xf numFmtId="164" fontId="18" fillId="0" borderId="2" xfId="0" applyNumberFormat="1" applyFont="1" applyFill="1" applyBorder="1" applyAlignment="1">
      <alignment horizontal="left" vertical="center" wrapText="1"/>
    </xf>
    <xf numFmtId="164" fontId="18" fillId="0" borderId="1" xfId="0" applyNumberFormat="1" applyFont="1" applyFill="1" applyBorder="1"/>
    <xf numFmtId="164" fontId="18" fillId="0" borderId="1" xfId="0" applyNumberFormat="1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16" fontId="15" fillId="0" borderId="1" xfId="0" applyNumberFormat="1" applyFont="1" applyFill="1" applyBorder="1" applyAlignment="1">
      <alignment horizontal="center" vertical="center" wrapText="1"/>
    </xf>
    <xf numFmtId="16" fontId="15" fillId="0" borderId="6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9"/>
  <sheetViews>
    <sheetView tabSelected="1" view="pageBreakPreview" topLeftCell="A5" zoomScaleNormal="100" zoomScaleSheetLayoutView="100" workbookViewId="0">
      <pane ySplit="13" topLeftCell="A42" activePane="bottomLeft" state="frozen"/>
      <selection activeCell="A5" sqref="A5"/>
      <selection pane="bottomLeft" activeCell="M5" sqref="M5:O8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2" customWidth="1"/>
    <col min="11" max="11" width="8.28515625" style="12" customWidth="1"/>
    <col min="12" max="12" width="9" style="12" customWidth="1"/>
    <col min="13" max="13" width="8.85546875" style="12" customWidth="1"/>
    <col min="14" max="14" width="13.42578125" style="3" customWidth="1"/>
    <col min="15" max="15" width="26.7109375" style="3" customWidth="1"/>
    <col min="16" max="16" width="9.140625" style="3"/>
    <col min="17" max="17" width="9.42578125" style="3" bestFit="1" customWidth="1"/>
    <col min="18" max="16384" width="9.140625" style="3"/>
  </cols>
  <sheetData>
    <row r="1" spans="1:16" ht="15.75" hidden="1" x14ac:dyDescent="0.25">
      <c r="A1" s="1"/>
      <c r="B1" s="1"/>
      <c r="C1" s="1"/>
      <c r="D1" s="1"/>
      <c r="E1" s="1"/>
      <c r="F1" s="1"/>
      <c r="G1" s="132" t="s">
        <v>64</v>
      </c>
      <c r="H1" s="132"/>
      <c r="I1" s="132"/>
      <c r="J1" s="132"/>
      <c r="K1" s="132"/>
      <c r="L1" s="132"/>
      <c r="M1" s="132"/>
      <c r="N1" s="132"/>
      <c r="O1" s="132"/>
      <c r="P1" s="2"/>
    </row>
    <row r="2" spans="1:16" ht="14.25" hidden="1" customHeight="1" x14ac:dyDescent="0.25">
      <c r="A2" s="1"/>
      <c r="B2" s="1"/>
      <c r="C2" s="1"/>
      <c r="D2" s="1"/>
      <c r="E2" s="1"/>
      <c r="F2" s="1"/>
      <c r="G2" s="132" t="s">
        <v>62</v>
      </c>
      <c r="H2" s="132"/>
      <c r="I2" s="132"/>
      <c r="J2" s="132"/>
      <c r="K2" s="132"/>
      <c r="L2" s="132"/>
      <c r="M2" s="132"/>
      <c r="N2" s="132"/>
      <c r="O2" s="132"/>
      <c r="P2" s="2"/>
    </row>
    <row r="3" spans="1:16" ht="14.25" hidden="1" customHeight="1" x14ac:dyDescent="0.25">
      <c r="A3" s="1"/>
      <c r="B3" s="1"/>
      <c r="C3" s="1"/>
      <c r="D3" s="1"/>
      <c r="E3" s="1"/>
      <c r="F3" s="1"/>
      <c r="G3" s="132" t="s">
        <v>63</v>
      </c>
      <c r="H3" s="132"/>
      <c r="I3" s="132"/>
      <c r="J3" s="132"/>
      <c r="K3" s="132"/>
      <c r="L3" s="132"/>
      <c r="M3" s="132"/>
      <c r="N3" s="132"/>
      <c r="O3" s="132"/>
      <c r="P3" s="2"/>
    </row>
    <row r="4" spans="1:16" ht="15" hidden="1" customHeight="1" x14ac:dyDescent="0.25">
      <c r="A4" s="1"/>
      <c r="B4" s="1"/>
      <c r="C4" s="1"/>
      <c r="D4" s="1"/>
      <c r="E4" s="1"/>
      <c r="F4" s="4"/>
      <c r="G4" s="132" t="s">
        <v>106</v>
      </c>
      <c r="H4" s="133"/>
      <c r="I4" s="133"/>
      <c r="J4" s="133"/>
      <c r="K4" s="133"/>
      <c r="L4" s="133"/>
      <c r="M4" s="133"/>
      <c r="N4" s="133"/>
      <c r="O4" s="133"/>
      <c r="P4" s="5"/>
    </row>
    <row r="5" spans="1:16" ht="15.75" customHeight="1" x14ac:dyDescent="0.25">
      <c r="A5" s="1"/>
      <c r="B5" s="1"/>
      <c r="C5" s="1"/>
      <c r="D5" s="1"/>
      <c r="E5" s="1"/>
      <c r="F5" s="4"/>
      <c r="G5" s="99"/>
      <c r="H5" s="100"/>
      <c r="I5" s="100"/>
      <c r="J5" s="100"/>
      <c r="K5" s="100"/>
      <c r="L5" s="100"/>
      <c r="M5" s="139" t="s">
        <v>162</v>
      </c>
      <c r="N5" s="140"/>
      <c r="O5" s="140"/>
      <c r="P5" s="5"/>
    </row>
    <row r="6" spans="1:16" ht="15" customHeight="1" x14ac:dyDescent="0.25">
      <c r="A6" s="1"/>
      <c r="B6" s="1"/>
      <c r="C6" s="1"/>
      <c r="D6" s="1"/>
      <c r="E6" s="1"/>
      <c r="F6" s="4"/>
      <c r="G6" s="99"/>
      <c r="H6" s="100"/>
      <c r="I6" s="100"/>
      <c r="J6" s="100"/>
      <c r="K6" s="100"/>
      <c r="L6" s="100"/>
      <c r="M6" s="140"/>
      <c r="N6" s="140"/>
      <c r="O6" s="140"/>
      <c r="P6" s="5"/>
    </row>
    <row r="7" spans="1:16" ht="15" customHeight="1" x14ac:dyDescent="0.25">
      <c r="A7" s="1"/>
      <c r="B7" s="1"/>
      <c r="C7" s="1"/>
      <c r="D7" s="1"/>
      <c r="E7" s="1"/>
      <c r="F7" s="4"/>
      <c r="G7" s="99"/>
      <c r="H7" s="100"/>
      <c r="I7" s="100"/>
      <c r="J7" s="100"/>
      <c r="K7" s="100"/>
      <c r="L7" s="100"/>
      <c r="M7" s="140"/>
      <c r="N7" s="140"/>
      <c r="O7" s="140"/>
      <c r="P7" s="5"/>
    </row>
    <row r="8" spans="1:16" ht="15" customHeight="1" x14ac:dyDescent="0.25">
      <c r="A8" s="1"/>
      <c r="B8" s="1"/>
      <c r="C8" s="1"/>
      <c r="D8" s="1"/>
      <c r="E8" s="1"/>
      <c r="F8" s="4"/>
      <c r="G8" s="99"/>
      <c r="H8" s="100"/>
      <c r="I8" s="100"/>
      <c r="J8" s="100"/>
      <c r="K8" s="100"/>
      <c r="L8" s="100"/>
      <c r="M8" s="140"/>
      <c r="N8" s="140"/>
      <c r="O8" s="140"/>
      <c r="P8" s="5"/>
    </row>
    <row r="9" spans="1:16" ht="15" customHeight="1" x14ac:dyDescent="0.25">
      <c r="A9" s="1"/>
      <c r="B9" s="1"/>
      <c r="C9" s="1"/>
      <c r="D9" s="1"/>
      <c r="E9" s="1"/>
      <c r="F9" s="4"/>
      <c r="G9" s="99"/>
      <c r="H9" s="100"/>
      <c r="I9" s="100"/>
      <c r="J9" s="100"/>
      <c r="K9" s="100"/>
      <c r="L9" s="100"/>
      <c r="M9" s="100"/>
      <c r="N9" s="100"/>
      <c r="O9" s="100"/>
      <c r="P9" s="5"/>
    </row>
    <row r="10" spans="1:16" ht="15" customHeight="1" x14ac:dyDescent="0.25">
      <c r="A10" s="6"/>
      <c r="B10" s="6"/>
      <c r="C10" s="6"/>
      <c r="D10" s="6"/>
      <c r="E10" s="6"/>
      <c r="F10" s="7"/>
      <c r="G10" s="8"/>
      <c r="H10" s="9"/>
      <c r="I10" s="9"/>
      <c r="J10" s="9"/>
      <c r="K10" s="9"/>
      <c r="L10" s="9"/>
      <c r="M10" s="9"/>
      <c r="N10" s="9"/>
      <c r="O10" s="9"/>
      <c r="P10" s="5"/>
    </row>
    <row r="11" spans="1:16" s="6" customFormat="1" ht="15.75" customHeight="1" x14ac:dyDescent="0.3">
      <c r="A11" s="134" t="s">
        <v>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1:16" s="6" customFormat="1" ht="16.5" customHeight="1" x14ac:dyDescent="0.3">
      <c r="A12" s="134" t="s">
        <v>80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6" ht="15" customHeight="1" x14ac:dyDescent="0.3">
      <c r="A13" s="134" t="s">
        <v>65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1:16" ht="15.75" customHeight="1" x14ac:dyDescent="0.3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6" ht="14.25" customHeight="1" x14ac:dyDescent="0.2">
      <c r="A15" s="128" t="s">
        <v>0</v>
      </c>
      <c r="B15" s="136" t="s">
        <v>1</v>
      </c>
      <c r="C15" s="127" t="s">
        <v>21</v>
      </c>
      <c r="D15" s="135" t="s">
        <v>20</v>
      </c>
      <c r="E15" s="127" t="s">
        <v>23</v>
      </c>
      <c r="F15" s="135" t="s">
        <v>2</v>
      </c>
      <c r="G15" s="137"/>
      <c r="H15" s="137"/>
      <c r="I15" s="137"/>
      <c r="J15" s="137"/>
      <c r="K15" s="137"/>
      <c r="L15" s="137"/>
      <c r="M15" s="138"/>
      <c r="N15" s="135" t="s">
        <v>3</v>
      </c>
      <c r="O15" s="125" t="s">
        <v>4</v>
      </c>
      <c r="P15" s="14"/>
    </row>
    <row r="16" spans="1:16" ht="19.5" customHeight="1" x14ac:dyDescent="0.2">
      <c r="A16" s="128"/>
      <c r="B16" s="136"/>
      <c r="C16" s="127"/>
      <c r="D16" s="135"/>
      <c r="E16" s="127"/>
      <c r="F16" s="15">
        <v>2017</v>
      </c>
      <c r="G16" s="16">
        <v>2018</v>
      </c>
      <c r="H16" s="16">
        <v>2019</v>
      </c>
      <c r="I16" s="17">
        <v>2020</v>
      </c>
      <c r="J16" s="17">
        <v>2021</v>
      </c>
      <c r="K16" s="17">
        <v>2022</v>
      </c>
      <c r="L16" s="17">
        <v>2023</v>
      </c>
      <c r="M16" s="17">
        <v>2024</v>
      </c>
      <c r="N16" s="135"/>
      <c r="O16" s="126"/>
      <c r="P16" s="14"/>
    </row>
    <row r="17" spans="1:21" x14ac:dyDescent="0.2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  <c r="I17" s="18">
        <v>9</v>
      </c>
      <c r="J17" s="18">
        <v>10</v>
      </c>
      <c r="K17" s="18">
        <v>11</v>
      </c>
      <c r="L17" s="18">
        <v>12</v>
      </c>
      <c r="M17" s="18">
        <v>13</v>
      </c>
      <c r="N17" s="18">
        <v>14</v>
      </c>
      <c r="O17" s="18">
        <v>15</v>
      </c>
      <c r="P17" s="14"/>
    </row>
    <row r="18" spans="1:21" ht="16.5" customHeight="1" x14ac:dyDescent="0.2">
      <c r="A18" s="122" t="s">
        <v>107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4"/>
      <c r="P18" s="14"/>
    </row>
    <row r="19" spans="1:21" ht="30" customHeight="1" x14ac:dyDescent="0.2">
      <c r="A19" s="129" t="s">
        <v>6</v>
      </c>
      <c r="B19" s="101" t="s">
        <v>73</v>
      </c>
      <c r="C19" s="20" t="s">
        <v>24</v>
      </c>
      <c r="D19" s="21" t="s">
        <v>153</v>
      </c>
      <c r="E19" s="22">
        <f>F19+G19+H19+I19+K19+J19+L19+M19</f>
        <v>3069.2000000000003</v>
      </c>
      <c r="F19" s="23">
        <v>1154.2</v>
      </c>
      <c r="G19" s="24">
        <f>300-41.9</f>
        <v>258.10000000000002</v>
      </c>
      <c r="H19" s="24">
        <v>280</v>
      </c>
      <c r="I19" s="25">
        <v>70</v>
      </c>
      <c r="J19" s="25">
        <v>639.4</v>
      </c>
      <c r="K19" s="25">
        <v>667.5</v>
      </c>
      <c r="L19" s="25">
        <v>0</v>
      </c>
      <c r="M19" s="25">
        <v>0</v>
      </c>
      <c r="N19" s="129" t="s">
        <v>124</v>
      </c>
      <c r="O19" s="101" t="s">
        <v>74</v>
      </c>
      <c r="P19" s="14"/>
      <c r="Q19" s="146"/>
      <c r="R19" s="146"/>
      <c r="S19" s="146"/>
      <c r="T19" s="146"/>
    </row>
    <row r="20" spans="1:21" ht="18" customHeight="1" x14ac:dyDescent="0.2">
      <c r="A20" s="131"/>
      <c r="B20" s="103"/>
      <c r="C20" s="98" t="s">
        <v>91</v>
      </c>
      <c r="D20" s="21" t="s">
        <v>161</v>
      </c>
      <c r="E20" s="22">
        <f>SUM(F20:M20)</f>
        <v>630</v>
      </c>
      <c r="F20" s="23">
        <v>0</v>
      </c>
      <c r="G20" s="24">
        <v>0</v>
      </c>
      <c r="H20" s="24">
        <v>0</v>
      </c>
      <c r="I20" s="25">
        <v>630</v>
      </c>
      <c r="J20" s="25">
        <v>0</v>
      </c>
      <c r="K20" s="25">
        <v>0</v>
      </c>
      <c r="L20" s="25">
        <v>0</v>
      </c>
      <c r="M20" s="25">
        <v>0</v>
      </c>
      <c r="N20" s="131"/>
      <c r="O20" s="103"/>
      <c r="P20" s="14"/>
      <c r="Q20" s="97"/>
      <c r="R20" s="97"/>
      <c r="S20" s="97"/>
      <c r="T20" s="97"/>
    </row>
    <row r="21" spans="1:21" ht="38.25" customHeight="1" x14ac:dyDescent="0.2">
      <c r="A21" s="18" t="s">
        <v>7</v>
      </c>
      <c r="B21" s="19" t="s">
        <v>79</v>
      </c>
      <c r="C21" s="20" t="s">
        <v>24</v>
      </c>
      <c r="D21" s="21" t="s">
        <v>154</v>
      </c>
      <c r="E21" s="22">
        <f>F21+G21+H21+I21+K21+J21+L21+M21</f>
        <v>3772.7999999999997</v>
      </c>
      <c r="F21" s="23">
        <v>623.1</v>
      </c>
      <c r="G21" s="24">
        <v>415.9</v>
      </c>
      <c r="H21" s="24">
        <f>256+475+1037</f>
        <v>1768</v>
      </c>
      <c r="I21" s="25">
        <v>100</v>
      </c>
      <c r="J21" s="25">
        <v>425.7</v>
      </c>
      <c r="K21" s="25">
        <v>440.1</v>
      </c>
      <c r="L21" s="25">
        <v>0</v>
      </c>
      <c r="M21" s="25">
        <v>0</v>
      </c>
      <c r="N21" s="26" t="s">
        <v>124</v>
      </c>
      <c r="O21" s="27" t="s">
        <v>77</v>
      </c>
      <c r="P21" s="14"/>
      <c r="Q21" s="146"/>
      <c r="R21" s="146"/>
      <c r="S21" s="146"/>
      <c r="T21" s="146"/>
    </row>
    <row r="22" spans="1:21" ht="36" customHeight="1" x14ac:dyDescent="0.2">
      <c r="A22" s="20" t="s">
        <v>72</v>
      </c>
      <c r="B22" s="19" t="s">
        <v>81</v>
      </c>
      <c r="C22" s="20" t="s">
        <v>24</v>
      </c>
      <c r="D22" s="21" t="s">
        <v>147</v>
      </c>
      <c r="E22" s="22">
        <f>SUM(F22:M22)</f>
        <v>31302.800000000003</v>
      </c>
      <c r="F22" s="23">
        <v>4076.3</v>
      </c>
      <c r="G22" s="28">
        <f>2674.4</f>
        <v>2674.4</v>
      </c>
      <c r="H22" s="28">
        <f>2910.3+298+487.4-7.5</f>
        <v>3688.2000000000003</v>
      </c>
      <c r="I22" s="25">
        <f>2917</f>
        <v>2917</v>
      </c>
      <c r="J22" s="25">
        <v>4163.8999999999996</v>
      </c>
      <c r="K22" s="25">
        <v>4372.1000000000004</v>
      </c>
      <c r="L22" s="25">
        <v>4590.7</v>
      </c>
      <c r="M22" s="25">
        <v>4820.2</v>
      </c>
      <c r="N22" s="19" t="s">
        <v>124</v>
      </c>
      <c r="O22" s="19" t="s">
        <v>78</v>
      </c>
      <c r="P22" s="14"/>
      <c r="Q22" s="10"/>
      <c r="R22" s="10"/>
      <c r="S22" s="10"/>
      <c r="T22" s="10"/>
    </row>
    <row r="23" spans="1:21" ht="27" customHeight="1" x14ac:dyDescent="0.2">
      <c r="A23" s="129" t="s">
        <v>75</v>
      </c>
      <c r="B23" s="101" t="s">
        <v>135</v>
      </c>
      <c r="C23" s="20" t="s">
        <v>24</v>
      </c>
      <c r="D23" s="21" t="s">
        <v>147</v>
      </c>
      <c r="E23" s="22">
        <f>F23+G23+H23+I23+K23+J23+L23+M23</f>
        <v>19099.099999999999</v>
      </c>
      <c r="F23" s="23">
        <v>1716.8</v>
      </c>
      <c r="G23" s="24">
        <f>2264.5+312.6+41.9-60-57+150.4</f>
        <v>2652.4</v>
      </c>
      <c r="H23" s="24">
        <f>1339.3+654.8+343+3500-122.6-21-182.9</f>
        <v>5510.6</v>
      </c>
      <c r="I23" s="25">
        <f>1419.4+237.9+70+311.5-70-184.7</f>
        <v>1784.1000000000001</v>
      </c>
      <c r="J23" s="25">
        <v>2225</v>
      </c>
      <c r="K23" s="25">
        <v>2325.6</v>
      </c>
      <c r="L23" s="24">
        <v>1407.1</v>
      </c>
      <c r="M23" s="24">
        <v>1477.5</v>
      </c>
      <c r="N23" s="101" t="s">
        <v>124</v>
      </c>
      <c r="O23" s="101" t="s">
        <v>136</v>
      </c>
      <c r="P23" s="14"/>
      <c r="Q23" s="10"/>
      <c r="R23" s="10"/>
      <c r="S23" s="10"/>
      <c r="T23" s="10"/>
    </row>
    <row r="24" spans="1:21" ht="21.75" customHeight="1" x14ac:dyDescent="0.2">
      <c r="A24" s="131"/>
      <c r="B24" s="103"/>
      <c r="C24" s="18" t="s">
        <v>91</v>
      </c>
      <c r="D24" s="21" t="s">
        <v>155</v>
      </c>
      <c r="E24" s="22">
        <f t="shared" ref="E24:E30" si="0">SUM(F24:K24)</f>
        <v>5736.5</v>
      </c>
      <c r="F24" s="23">
        <v>0</v>
      </c>
      <c r="G24" s="24">
        <v>2650</v>
      </c>
      <c r="H24" s="24">
        <v>3086.5</v>
      </c>
      <c r="I24" s="25">
        <v>0</v>
      </c>
      <c r="J24" s="25">
        <v>0</v>
      </c>
      <c r="K24" s="25">
        <v>0</v>
      </c>
      <c r="L24" s="29">
        <v>0</v>
      </c>
      <c r="M24" s="29">
        <v>0</v>
      </c>
      <c r="N24" s="103"/>
      <c r="O24" s="103"/>
      <c r="P24" s="14"/>
      <c r="Q24" s="10"/>
      <c r="R24" s="10"/>
      <c r="S24" s="10"/>
      <c r="T24" s="10"/>
    </row>
    <row r="25" spans="1:21" ht="111.75" customHeight="1" x14ac:dyDescent="0.2">
      <c r="A25" s="30" t="s">
        <v>89</v>
      </c>
      <c r="B25" s="31" t="s">
        <v>131</v>
      </c>
      <c r="C25" s="18" t="s">
        <v>24</v>
      </c>
      <c r="D25" s="21" t="s">
        <v>103</v>
      </c>
      <c r="E25" s="22">
        <f t="shared" si="0"/>
        <v>48357.2</v>
      </c>
      <c r="F25" s="23">
        <v>18080.7</v>
      </c>
      <c r="G25" s="24">
        <f>100+29974+5+100+97.5</f>
        <v>30276.5</v>
      </c>
      <c r="H25" s="24">
        <v>0</v>
      </c>
      <c r="I25" s="24">
        <v>0</v>
      </c>
      <c r="J25" s="24">
        <v>0</v>
      </c>
      <c r="K25" s="24">
        <v>0</v>
      </c>
      <c r="L25" s="25">
        <v>0</v>
      </c>
      <c r="M25" s="25">
        <v>0</v>
      </c>
      <c r="N25" s="26" t="s">
        <v>124</v>
      </c>
      <c r="O25" s="27" t="s">
        <v>78</v>
      </c>
      <c r="P25" s="14"/>
      <c r="Q25" s="148"/>
      <c r="R25" s="148"/>
      <c r="S25" s="148"/>
      <c r="T25" s="148"/>
      <c r="U25" s="148"/>
    </row>
    <row r="26" spans="1:21" ht="75" customHeight="1" x14ac:dyDescent="0.2">
      <c r="A26" s="30" t="s">
        <v>90</v>
      </c>
      <c r="B26" s="31" t="s">
        <v>132</v>
      </c>
      <c r="C26" s="18" t="s">
        <v>24</v>
      </c>
      <c r="D26" s="21" t="s">
        <v>103</v>
      </c>
      <c r="E26" s="22">
        <f t="shared" si="0"/>
        <v>2863.5</v>
      </c>
      <c r="F26" s="23">
        <v>1963.9</v>
      </c>
      <c r="G26" s="24">
        <v>899.6</v>
      </c>
      <c r="H26" s="24">
        <v>0</v>
      </c>
      <c r="I26" s="24">
        <v>0</v>
      </c>
      <c r="J26" s="24">
        <v>0</v>
      </c>
      <c r="K26" s="24">
        <v>0</v>
      </c>
      <c r="L26" s="25">
        <v>0</v>
      </c>
      <c r="M26" s="25">
        <v>0</v>
      </c>
      <c r="N26" s="26" t="s">
        <v>124</v>
      </c>
      <c r="O26" s="27" t="s">
        <v>78</v>
      </c>
      <c r="P26" s="14"/>
      <c r="Q26" s="11"/>
      <c r="R26" s="11"/>
      <c r="S26" s="11"/>
      <c r="T26" s="11"/>
      <c r="U26" s="11"/>
    </row>
    <row r="27" spans="1:21" ht="48.75" customHeight="1" x14ac:dyDescent="0.2">
      <c r="A27" s="30" t="s">
        <v>98</v>
      </c>
      <c r="B27" s="31" t="s">
        <v>133</v>
      </c>
      <c r="C27" s="18" t="s">
        <v>24</v>
      </c>
      <c r="D27" s="21" t="s">
        <v>76</v>
      </c>
      <c r="E27" s="22">
        <f t="shared" si="0"/>
        <v>39</v>
      </c>
      <c r="F27" s="23">
        <v>39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5">
        <v>0</v>
      </c>
      <c r="M27" s="25">
        <v>0</v>
      </c>
      <c r="N27" s="26" t="s">
        <v>124</v>
      </c>
      <c r="O27" s="27" t="s">
        <v>78</v>
      </c>
      <c r="P27" s="14"/>
      <c r="Q27" s="143"/>
      <c r="R27" s="144"/>
      <c r="S27" s="144"/>
      <c r="T27" s="144"/>
      <c r="U27" s="144"/>
    </row>
    <row r="28" spans="1:21" ht="51" customHeight="1" x14ac:dyDescent="0.2">
      <c r="A28" s="30" t="s">
        <v>99</v>
      </c>
      <c r="B28" s="31" t="s">
        <v>134</v>
      </c>
      <c r="C28" s="18" t="s">
        <v>24</v>
      </c>
      <c r="D28" s="21" t="s">
        <v>76</v>
      </c>
      <c r="E28" s="22">
        <f t="shared" si="0"/>
        <v>37</v>
      </c>
      <c r="F28" s="23">
        <v>37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5">
        <v>0</v>
      </c>
      <c r="M28" s="25">
        <v>0</v>
      </c>
      <c r="N28" s="26" t="s">
        <v>124</v>
      </c>
      <c r="O28" s="27" t="s">
        <v>78</v>
      </c>
      <c r="P28" s="14"/>
    </row>
    <row r="29" spans="1:21" ht="23.25" customHeight="1" x14ac:dyDescent="0.2">
      <c r="A29" s="107" t="s">
        <v>123</v>
      </c>
      <c r="B29" s="101" t="s">
        <v>128</v>
      </c>
      <c r="C29" s="18" t="s">
        <v>24</v>
      </c>
      <c r="D29" s="21" t="s">
        <v>104</v>
      </c>
      <c r="E29" s="32">
        <f t="shared" si="0"/>
        <v>30</v>
      </c>
      <c r="F29" s="23">
        <v>0</v>
      </c>
      <c r="G29" s="24">
        <v>30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101" t="s">
        <v>124</v>
      </c>
      <c r="O29" s="101" t="s">
        <v>78</v>
      </c>
      <c r="P29" s="14"/>
    </row>
    <row r="30" spans="1:21" ht="27" customHeight="1" x14ac:dyDescent="0.2">
      <c r="A30" s="108"/>
      <c r="B30" s="103"/>
      <c r="C30" s="18" t="s">
        <v>91</v>
      </c>
      <c r="D30" s="21" t="s">
        <v>104</v>
      </c>
      <c r="E30" s="32">
        <f t="shared" si="0"/>
        <v>270</v>
      </c>
      <c r="F30" s="23">
        <v>0</v>
      </c>
      <c r="G30" s="24">
        <v>270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103"/>
      <c r="O30" s="103"/>
      <c r="P30" s="14"/>
    </row>
    <row r="31" spans="1:21" ht="25.5" customHeight="1" x14ac:dyDescent="0.2">
      <c r="A31" s="107" t="s">
        <v>126</v>
      </c>
      <c r="B31" s="101" t="s">
        <v>127</v>
      </c>
      <c r="C31" s="18" t="s">
        <v>24</v>
      </c>
      <c r="D31" s="21" t="s">
        <v>104</v>
      </c>
      <c r="E31" s="32">
        <f>SUM(F31:K31)</f>
        <v>30</v>
      </c>
      <c r="F31" s="23">
        <v>0</v>
      </c>
      <c r="G31" s="24">
        <v>30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101" t="s">
        <v>124</v>
      </c>
      <c r="O31" s="101" t="s">
        <v>78</v>
      </c>
      <c r="P31" s="14"/>
    </row>
    <row r="32" spans="1:21" ht="24" customHeight="1" x14ac:dyDescent="0.2">
      <c r="A32" s="108"/>
      <c r="B32" s="103"/>
      <c r="C32" s="18" t="s">
        <v>91</v>
      </c>
      <c r="D32" s="21" t="s">
        <v>104</v>
      </c>
      <c r="E32" s="32">
        <f>SUM(F32:K32)</f>
        <v>270</v>
      </c>
      <c r="F32" s="23">
        <v>0</v>
      </c>
      <c r="G32" s="24">
        <v>270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103"/>
      <c r="O32" s="103"/>
      <c r="P32" s="14"/>
    </row>
    <row r="33" spans="1:21" ht="47.25" customHeight="1" x14ac:dyDescent="0.2">
      <c r="A33" s="33" t="s">
        <v>137</v>
      </c>
      <c r="B33" s="34" t="s">
        <v>146</v>
      </c>
      <c r="C33" s="18" t="s">
        <v>24</v>
      </c>
      <c r="D33" s="35" t="s">
        <v>148</v>
      </c>
      <c r="E33" s="32">
        <f>SUM(F33:M33)</f>
        <v>21996</v>
      </c>
      <c r="F33" s="23">
        <v>0</v>
      </c>
      <c r="G33" s="24">
        <v>0</v>
      </c>
      <c r="H33" s="24">
        <f>300+4800+4000+2000+75+239.4+410.2+974.9+1430.3+337</f>
        <v>14566.8</v>
      </c>
      <c r="I33" s="24">
        <f>309-119+6128.2</f>
        <v>6318.2</v>
      </c>
      <c r="J33" s="24">
        <v>197.6</v>
      </c>
      <c r="K33" s="24">
        <v>205.3</v>
      </c>
      <c r="L33" s="36">
        <v>345.4</v>
      </c>
      <c r="M33" s="36">
        <v>362.7</v>
      </c>
      <c r="N33" s="34" t="s">
        <v>124</v>
      </c>
      <c r="O33" s="34" t="s">
        <v>78</v>
      </c>
      <c r="P33" s="14"/>
    </row>
    <row r="34" spans="1:21" ht="14.25" customHeight="1" x14ac:dyDescent="0.2">
      <c r="A34" s="18"/>
      <c r="B34" s="37" t="s">
        <v>52</v>
      </c>
      <c r="C34" s="18"/>
      <c r="D34" s="18"/>
      <c r="E34" s="32">
        <f t="shared" ref="E34:K34" si="1">SUM(E19:E33)</f>
        <v>137503.1</v>
      </c>
      <c r="F34" s="22">
        <f t="shared" si="1"/>
        <v>27691.000000000004</v>
      </c>
      <c r="G34" s="22">
        <f t="shared" si="1"/>
        <v>40426.9</v>
      </c>
      <c r="H34" s="22">
        <f t="shared" si="1"/>
        <v>28900.1</v>
      </c>
      <c r="I34" s="22">
        <f t="shared" si="1"/>
        <v>11819.3</v>
      </c>
      <c r="J34" s="22">
        <f t="shared" si="1"/>
        <v>7651.6</v>
      </c>
      <c r="K34" s="22">
        <f t="shared" si="1"/>
        <v>8010.6000000000013</v>
      </c>
      <c r="L34" s="22">
        <f>SUM(L19:L33)</f>
        <v>6343.1999999999989</v>
      </c>
      <c r="M34" s="22">
        <f>SUM(M19:M33)</f>
        <v>6660.4</v>
      </c>
      <c r="N34" s="51"/>
      <c r="O34" s="38"/>
      <c r="P34" s="14"/>
    </row>
    <row r="35" spans="1:21" ht="15.75" customHeight="1" x14ac:dyDescent="0.2">
      <c r="A35" s="18"/>
      <c r="B35" s="37" t="s">
        <v>29</v>
      </c>
      <c r="C35" s="18"/>
      <c r="D35" s="18"/>
      <c r="E35" s="22">
        <f>SUM(F35:M35)</f>
        <v>130596.6</v>
      </c>
      <c r="F35" s="22">
        <f>F19+F21+F22+F23+F25+F26+F28++F29+F27</f>
        <v>27691.000000000004</v>
      </c>
      <c r="G35" s="22">
        <f>G19+G21+G22+G23+G25+G26+G28++G29+G27+G31</f>
        <v>37236.9</v>
      </c>
      <c r="H35" s="22">
        <f>H19+H21+H22+H23+H25+H26+H28+H33+H29+H27</f>
        <v>25813.599999999999</v>
      </c>
      <c r="I35" s="22">
        <f t="shared" ref="I35:K35" si="2">I19+I21+I22+I23+I25+I26+I28+I33+I29+I27</f>
        <v>11189.3</v>
      </c>
      <c r="J35" s="22">
        <f t="shared" si="2"/>
        <v>7651.6</v>
      </c>
      <c r="K35" s="22">
        <f t="shared" si="2"/>
        <v>8010.6000000000013</v>
      </c>
      <c r="L35" s="22">
        <f>L34</f>
        <v>6343.1999999999989</v>
      </c>
      <c r="M35" s="22">
        <f>M34</f>
        <v>6660.4</v>
      </c>
      <c r="N35" s="51"/>
      <c r="O35" s="39"/>
      <c r="P35" s="14"/>
    </row>
    <row r="36" spans="1:21" ht="15.75" customHeight="1" x14ac:dyDescent="0.2">
      <c r="A36" s="18"/>
      <c r="B36" s="37" t="s">
        <v>91</v>
      </c>
      <c r="C36" s="18"/>
      <c r="D36" s="18"/>
      <c r="E36" s="22">
        <f>SUM(F36:K36)</f>
        <v>6906.5</v>
      </c>
      <c r="F36" s="22">
        <f>F30+F24</f>
        <v>0</v>
      </c>
      <c r="G36" s="22">
        <f>G32+G30+G24</f>
        <v>3190</v>
      </c>
      <c r="H36" s="22">
        <f>H30+H24</f>
        <v>3086.5</v>
      </c>
      <c r="I36" s="22">
        <f>I30+I24+I20</f>
        <v>630</v>
      </c>
      <c r="J36" s="22">
        <f>J30+J24</f>
        <v>0</v>
      </c>
      <c r="K36" s="22">
        <f>K30+K24</f>
        <v>0</v>
      </c>
      <c r="L36" s="22">
        <v>0</v>
      </c>
      <c r="M36" s="22">
        <v>0</v>
      </c>
      <c r="N36" s="51"/>
      <c r="O36" s="39"/>
      <c r="P36" s="14"/>
    </row>
    <row r="37" spans="1:21" ht="16.5" customHeight="1" x14ac:dyDescent="0.2">
      <c r="A37" s="122" t="s">
        <v>108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4"/>
      <c r="P37" s="14" t="s">
        <v>48</v>
      </c>
      <c r="Q37" s="145"/>
      <c r="R37" s="146"/>
      <c r="S37" s="146"/>
      <c r="T37" s="146"/>
      <c r="U37" s="146"/>
    </row>
    <row r="38" spans="1:21" ht="52.5" customHeight="1" x14ac:dyDescent="0.2">
      <c r="A38" s="18" t="s">
        <v>8</v>
      </c>
      <c r="B38" s="27" t="s">
        <v>82</v>
      </c>
      <c r="C38" s="18" t="s">
        <v>24</v>
      </c>
      <c r="D38" s="21" t="s">
        <v>147</v>
      </c>
      <c r="E38" s="22">
        <f>F38+G38+H38+I38+K38+J38+L38+M38</f>
        <v>27326.799999999999</v>
      </c>
      <c r="F38" s="23">
        <v>1876.3</v>
      </c>
      <c r="G38" s="24">
        <f>2450.6+255+192+45.7</f>
        <v>2943.2999999999997</v>
      </c>
      <c r="H38" s="24">
        <f>6660.2-51.5-12.2</f>
        <v>6596.5</v>
      </c>
      <c r="I38" s="24">
        <f>2800+867.9</f>
        <v>3667.9</v>
      </c>
      <c r="J38" s="24">
        <v>3814.6</v>
      </c>
      <c r="K38" s="24">
        <v>3963.3</v>
      </c>
      <c r="L38" s="24">
        <v>2178</v>
      </c>
      <c r="M38" s="24">
        <v>2286.9</v>
      </c>
      <c r="N38" s="27" t="s">
        <v>59</v>
      </c>
      <c r="O38" s="27" t="s">
        <v>40</v>
      </c>
      <c r="P38" s="14"/>
    </row>
    <row r="39" spans="1:21" ht="61.5" customHeight="1" x14ac:dyDescent="0.2">
      <c r="A39" s="18" t="s">
        <v>25</v>
      </c>
      <c r="B39" s="27" t="s">
        <v>51</v>
      </c>
      <c r="C39" s="18" t="s">
        <v>24</v>
      </c>
      <c r="D39" s="21" t="s">
        <v>147</v>
      </c>
      <c r="E39" s="22">
        <f>F39+G39+H39+I39+K39+J39+L39+M39</f>
        <v>1119.9000000000001</v>
      </c>
      <c r="F39" s="40">
        <v>98.5</v>
      </c>
      <c r="G39" s="41">
        <f>205-5-71.5</f>
        <v>128.5</v>
      </c>
      <c r="H39" s="41">
        <v>150</v>
      </c>
      <c r="I39" s="42">
        <v>150</v>
      </c>
      <c r="J39" s="42">
        <v>156</v>
      </c>
      <c r="K39" s="42">
        <v>162</v>
      </c>
      <c r="L39" s="42">
        <v>134.1</v>
      </c>
      <c r="M39" s="42">
        <v>140.80000000000001</v>
      </c>
      <c r="N39" s="43" t="s">
        <v>59</v>
      </c>
      <c r="O39" s="27" t="s">
        <v>40</v>
      </c>
      <c r="P39" s="14"/>
    </row>
    <row r="40" spans="1:21" ht="23.25" customHeight="1" x14ac:dyDescent="0.2">
      <c r="A40" s="129" t="s">
        <v>26</v>
      </c>
      <c r="B40" s="101" t="s">
        <v>66</v>
      </c>
      <c r="C40" s="18" t="s">
        <v>29</v>
      </c>
      <c r="D40" s="21" t="s">
        <v>147</v>
      </c>
      <c r="E40" s="22">
        <f>F40+G40+H40+I40+K40+J40+L40+M40</f>
        <v>58654.000000000007</v>
      </c>
      <c r="F40" s="23">
        <v>906</v>
      </c>
      <c r="G40" s="24">
        <v>8454.9</v>
      </c>
      <c r="H40" s="41">
        <f>15000+410.2+239.4+974.9-239.4-410.2-974.9+3720+760+713.4-1406.6-17.8+21+95.4</f>
        <v>18885.400000000005</v>
      </c>
      <c r="I40" s="41">
        <f>6818.8+500+1000+156.1+881.7+408.6+119.8</f>
        <v>9885</v>
      </c>
      <c r="J40" s="41">
        <f>8320+1040</f>
        <v>9360</v>
      </c>
      <c r="K40" s="41">
        <v>8644.5</v>
      </c>
      <c r="L40" s="44">
        <v>1228.4000000000001</v>
      </c>
      <c r="M40" s="44">
        <v>1289.8</v>
      </c>
      <c r="N40" s="101" t="s">
        <v>59</v>
      </c>
      <c r="O40" s="101" t="s">
        <v>100</v>
      </c>
      <c r="P40" s="14"/>
    </row>
    <row r="41" spans="1:21" s="12" customFormat="1" ht="24" customHeight="1" x14ac:dyDescent="0.2">
      <c r="A41" s="130"/>
      <c r="B41" s="102"/>
      <c r="C41" s="18" t="s">
        <v>91</v>
      </c>
      <c r="D41" s="45" t="s">
        <v>145</v>
      </c>
      <c r="E41" s="22">
        <f t="shared" ref="E41:E44" si="3">F41+G41+H41+I41+K41+J41</f>
        <v>27184.600000000002</v>
      </c>
      <c r="F41" s="23">
        <v>742.9</v>
      </c>
      <c r="G41" s="24">
        <v>742.9</v>
      </c>
      <c r="H41" s="41">
        <f>736.8+4455.8</f>
        <v>5192.6000000000004</v>
      </c>
      <c r="I41" s="41">
        <f>726+1578.2+16750</f>
        <v>19054.2</v>
      </c>
      <c r="J41" s="41">
        <v>726</v>
      </c>
      <c r="K41" s="41">
        <v>726</v>
      </c>
      <c r="L41" s="41">
        <v>0</v>
      </c>
      <c r="M41" s="41">
        <v>0</v>
      </c>
      <c r="N41" s="102"/>
      <c r="O41" s="102"/>
      <c r="P41" s="14"/>
    </row>
    <row r="42" spans="1:21" s="12" customFormat="1" ht="50.25" customHeight="1" x14ac:dyDescent="0.2">
      <c r="A42" s="131"/>
      <c r="B42" s="103"/>
      <c r="C42" s="18" t="s">
        <v>94</v>
      </c>
      <c r="D42" s="45" t="s">
        <v>103</v>
      </c>
      <c r="E42" s="22">
        <f t="shared" si="3"/>
        <v>48218.5</v>
      </c>
      <c r="F42" s="23">
        <v>12263.4</v>
      </c>
      <c r="G42" s="24">
        <f>15000-44.9</f>
        <v>14955.1</v>
      </c>
      <c r="H42" s="41">
        <v>21000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103"/>
      <c r="O42" s="103"/>
      <c r="P42" s="14"/>
    </row>
    <row r="43" spans="1:21" s="12" customFormat="1" ht="74.25" customHeight="1" x14ac:dyDescent="0.2">
      <c r="A43" s="18" t="s">
        <v>27</v>
      </c>
      <c r="B43" s="31" t="s">
        <v>67</v>
      </c>
      <c r="C43" s="18" t="s">
        <v>24</v>
      </c>
      <c r="D43" s="21" t="s">
        <v>147</v>
      </c>
      <c r="E43" s="22">
        <f>F43+G43+H43+I43+K43+J43+L43+M43</f>
        <v>26665.7</v>
      </c>
      <c r="F43" s="46">
        <v>2500</v>
      </c>
      <c r="G43" s="28">
        <v>3000</v>
      </c>
      <c r="H43" s="28">
        <v>3375.7</v>
      </c>
      <c r="I43" s="25">
        <v>3500</v>
      </c>
      <c r="J43" s="25">
        <v>3640</v>
      </c>
      <c r="K43" s="25">
        <v>3782</v>
      </c>
      <c r="L43" s="25">
        <v>3350.2</v>
      </c>
      <c r="M43" s="25">
        <v>3517.8</v>
      </c>
      <c r="N43" s="43" t="s">
        <v>59</v>
      </c>
      <c r="O43" s="19" t="s">
        <v>40</v>
      </c>
      <c r="P43" s="14"/>
    </row>
    <row r="44" spans="1:21" s="12" customFormat="1" ht="37.5" customHeight="1" x14ac:dyDescent="0.2">
      <c r="A44" s="30" t="s">
        <v>28</v>
      </c>
      <c r="B44" s="47" t="s">
        <v>86</v>
      </c>
      <c r="C44" s="18" t="s">
        <v>24</v>
      </c>
      <c r="D44" s="21" t="s">
        <v>143</v>
      </c>
      <c r="E44" s="22">
        <f t="shared" si="3"/>
        <v>36565.9</v>
      </c>
      <c r="F44" s="23">
        <v>11105</v>
      </c>
      <c r="G44" s="24">
        <f>13513.7+569.5</f>
        <v>14083.2</v>
      </c>
      <c r="H44" s="24">
        <v>6350</v>
      </c>
      <c r="I44" s="24">
        <f>4960.7+67</f>
        <v>5027.7</v>
      </c>
      <c r="J44" s="24">
        <v>0</v>
      </c>
      <c r="K44" s="24">
        <v>0</v>
      </c>
      <c r="L44" s="24">
        <v>0</v>
      </c>
      <c r="M44" s="24">
        <v>0</v>
      </c>
      <c r="N44" s="27" t="s">
        <v>59</v>
      </c>
      <c r="O44" s="27" t="s">
        <v>41</v>
      </c>
      <c r="P44" s="14"/>
      <c r="Q44" s="147"/>
      <c r="R44" s="147"/>
      <c r="S44" s="147"/>
      <c r="T44" s="147"/>
      <c r="U44" s="147"/>
    </row>
    <row r="45" spans="1:21" ht="34.5" customHeight="1" x14ac:dyDescent="0.2">
      <c r="A45" s="30" t="s">
        <v>87</v>
      </c>
      <c r="B45" s="47" t="s">
        <v>88</v>
      </c>
      <c r="C45" s="18" t="s">
        <v>24</v>
      </c>
      <c r="D45" s="21" t="s">
        <v>156</v>
      </c>
      <c r="E45" s="22">
        <f>SUM(F45:K45)</f>
        <v>728</v>
      </c>
      <c r="F45" s="23">
        <v>0</v>
      </c>
      <c r="G45" s="24">
        <v>200</v>
      </c>
      <c r="H45" s="24">
        <v>495</v>
      </c>
      <c r="I45" s="24">
        <f>100-67</f>
        <v>33</v>
      </c>
      <c r="J45" s="24">
        <v>0</v>
      </c>
      <c r="K45" s="24">
        <v>0</v>
      </c>
      <c r="L45" s="24">
        <v>0</v>
      </c>
      <c r="M45" s="24">
        <v>0</v>
      </c>
      <c r="N45" s="27" t="s">
        <v>59</v>
      </c>
      <c r="O45" s="27" t="s">
        <v>41</v>
      </c>
      <c r="P45" s="14"/>
    </row>
    <row r="46" spans="1:21" ht="78" customHeight="1" x14ac:dyDescent="0.2">
      <c r="A46" s="48" t="s">
        <v>150</v>
      </c>
      <c r="B46" s="47" t="s">
        <v>152</v>
      </c>
      <c r="C46" s="18" t="s">
        <v>24</v>
      </c>
      <c r="D46" s="21" t="s">
        <v>151</v>
      </c>
      <c r="E46" s="32">
        <f>SUM(F46:M46)</f>
        <v>300</v>
      </c>
      <c r="F46" s="23">
        <v>0</v>
      </c>
      <c r="G46" s="24">
        <v>0</v>
      </c>
      <c r="H46" s="24">
        <v>100</v>
      </c>
      <c r="I46" s="24">
        <v>200</v>
      </c>
      <c r="J46" s="24">
        <v>0</v>
      </c>
      <c r="K46" s="24">
        <v>0</v>
      </c>
      <c r="L46" s="24">
        <v>0</v>
      </c>
      <c r="M46" s="24">
        <v>0</v>
      </c>
      <c r="N46" s="27" t="s">
        <v>59</v>
      </c>
      <c r="O46" s="27" t="s">
        <v>40</v>
      </c>
      <c r="P46" s="14"/>
    </row>
    <row r="47" spans="1:21" ht="16.5" customHeight="1" x14ac:dyDescent="0.2">
      <c r="A47" s="49"/>
      <c r="B47" s="50" t="s">
        <v>53</v>
      </c>
      <c r="C47" s="20"/>
      <c r="D47" s="21"/>
      <c r="E47" s="32">
        <f t="shared" ref="E47:M47" si="4">SUM(E38:E46)</f>
        <v>226763.40000000002</v>
      </c>
      <c r="F47" s="22">
        <f t="shared" si="4"/>
        <v>29492.1</v>
      </c>
      <c r="G47" s="22">
        <f t="shared" si="4"/>
        <v>44507.899999999994</v>
      </c>
      <c r="H47" s="22">
        <f t="shared" si="4"/>
        <v>62145.200000000004</v>
      </c>
      <c r="I47" s="22">
        <f t="shared" si="4"/>
        <v>41517.799999999996</v>
      </c>
      <c r="J47" s="22">
        <f t="shared" si="4"/>
        <v>17696.599999999999</v>
      </c>
      <c r="K47" s="22">
        <f t="shared" si="4"/>
        <v>17277.8</v>
      </c>
      <c r="L47" s="22">
        <f t="shared" si="4"/>
        <v>6890.7</v>
      </c>
      <c r="M47" s="22">
        <f t="shared" si="4"/>
        <v>7235.3</v>
      </c>
      <c r="N47" s="51"/>
      <c r="O47" s="51"/>
      <c r="P47" s="14"/>
    </row>
    <row r="48" spans="1:21" ht="27.75" customHeight="1" x14ac:dyDescent="0.2">
      <c r="A48" s="52"/>
      <c r="B48" s="50" t="s">
        <v>94</v>
      </c>
      <c r="C48" s="20"/>
      <c r="D48" s="21"/>
      <c r="E48" s="22">
        <f>SUM(F48:K48)</f>
        <v>48218.5</v>
      </c>
      <c r="F48" s="22">
        <v>12263.4</v>
      </c>
      <c r="G48" s="22">
        <f>G42</f>
        <v>14955.1</v>
      </c>
      <c r="H48" s="22">
        <f>H42</f>
        <v>21000</v>
      </c>
      <c r="I48" s="22">
        <f>I42</f>
        <v>0</v>
      </c>
      <c r="J48" s="22">
        <f>J42</f>
        <v>0</v>
      </c>
      <c r="K48" s="22">
        <f>K42</f>
        <v>0</v>
      </c>
      <c r="L48" s="22">
        <v>0</v>
      </c>
      <c r="M48" s="22">
        <v>0</v>
      </c>
      <c r="N48" s="51"/>
      <c r="O48" s="27"/>
      <c r="P48" s="14"/>
    </row>
    <row r="49" spans="1:20" ht="14.25" customHeight="1" x14ac:dyDescent="0.2">
      <c r="A49" s="52"/>
      <c r="B49" s="50" t="s">
        <v>91</v>
      </c>
      <c r="C49" s="20"/>
      <c r="D49" s="21"/>
      <c r="E49" s="22">
        <f>SUM(F49:K49)</f>
        <v>27184.600000000002</v>
      </c>
      <c r="F49" s="22">
        <v>742.9</v>
      </c>
      <c r="G49" s="22">
        <f>G41</f>
        <v>742.9</v>
      </c>
      <c r="H49" s="22">
        <f>H41</f>
        <v>5192.6000000000004</v>
      </c>
      <c r="I49" s="22">
        <f t="shared" ref="I49:K49" si="5">I41</f>
        <v>19054.2</v>
      </c>
      <c r="J49" s="22">
        <f t="shared" si="5"/>
        <v>726</v>
      </c>
      <c r="K49" s="22">
        <f t="shared" si="5"/>
        <v>726</v>
      </c>
      <c r="L49" s="53">
        <v>0</v>
      </c>
      <c r="M49" s="53">
        <v>0</v>
      </c>
      <c r="N49" s="51"/>
      <c r="O49" s="27"/>
      <c r="P49" s="14"/>
    </row>
    <row r="50" spans="1:20" ht="15" customHeight="1" x14ac:dyDescent="0.2">
      <c r="A50" s="18"/>
      <c r="B50" s="37" t="s">
        <v>29</v>
      </c>
      <c r="C50" s="18"/>
      <c r="D50" s="18"/>
      <c r="E50" s="22">
        <f>SUM(E47-E48-E49)</f>
        <v>151360.30000000002</v>
      </c>
      <c r="F50" s="22">
        <f>SUM(F47-F48-F49)</f>
        <v>16485.799999999996</v>
      </c>
      <c r="G50" s="22">
        <f>G47-G49-G48</f>
        <v>28809.899999999994</v>
      </c>
      <c r="H50" s="22">
        <f>H47-H49-H48</f>
        <v>35952.600000000006</v>
      </c>
      <c r="I50" s="22">
        <f>I47-I49-I48</f>
        <v>22463.599999999995</v>
      </c>
      <c r="J50" s="22">
        <f>J47-J49-J48</f>
        <v>16970.599999999999</v>
      </c>
      <c r="K50" s="22">
        <f>K47-K49-K48</f>
        <v>16551.8</v>
      </c>
      <c r="L50" s="22">
        <f>L47-L48-L49</f>
        <v>6890.7</v>
      </c>
      <c r="M50" s="22">
        <f>M47-M48-M49</f>
        <v>7235.3</v>
      </c>
      <c r="N50" s="51"/>
      <c r="O50" s="34"/>
      <c r="P50" s="14"/>
    </row>
    <row r="51" spans="1:20" ht="16.5" customHeight="1" x14ac:dyDescent="0.2">
      <c r="A51" s="119" t="s">
        <v>109</v>
      </c>
      <c r="B51" s="119"/>
      <c r="C51" s="119"/>
      <c r="D51" s="119"/>
      <c r="E51" s="120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4"/>
      <c r="T51" s="6"/>
    </row>
    <row r="52" spans="1:20" ht="82.5" customHeight="1" x14ac:dyDescent="0.2">
      <c r="A52" s="54" t="s">
        <v>9</v>
      </c>
      <c r="B52" s="31" t="s">
        <v>83</v>
      </c>
      <c r="C52" s="18" t="s">
        <v>24</v>
      </c>
      <c r="D52" s="45" t="s">
        <v>147</v>
      </c>
      <c r="E52" s="55">
        <f>F52+G52+H52+I52+K52+J52+L52+M52</f>
        <v>301070.10000000003</v>
      </c>
      <c r="F52" s="23">
        <v>27939.599999999999</v>
      </c>
      <c r="G52" s="24">
        <v>31946.6</v>
      </c>
      <c r="H52" s="24">
        <f>30958.2+6976.3+3793</f>
        <v>41727.5</v>
      </c>
      <c r="I52" s="56">
        <f>32506.1+9766.9</f>
        <v>42273</v>
      </c>
      <c r="J52" s="56">
        <f>43963.9-9600.3</f>
        <v>34363.600000000006</v>
      </c>
      <c r="K52" s="56">
        <v>45678.5</v>
      </c>
      <c r="L52" s="56">
        <v>37629.9</v>
      </c>
      <c r="M52" s="56">
        <v>39511.4</v>
      </c>
      <c r="N52" s="43" t="s">
        <v>59</v>
      </c>
      <c r="O52" s="31" t="s">
        <v>68</v>
      </c>
      <c r="P52" s="14"/>
    </row>
    <row r="53" spans="1:20" ht="34.5" customHeight="1" x14ac:dyDescent="0.2">
      <c r="A53" s="18" t="s">
        <v>10</v>
      </c>
      <c r="B53" s="31" t="s">
        <v>92</v>
      </c>
      <c r="C53" s="18" t="s">
        <v>24</v>
      </c>
      <c r="D53" s="45" t="s">
        <v>76</v>
      </c>
      <c r="E53" s="55">
        <f>F53+G53+H53+I53+K53+J53</f>
        <v>53</v>
      </c>
      <c r="F53" s="23">
        <v>53</v>
      </c>
      <c r="G53" s="24">
        <v>0</v>
      </c>
      <c r="H53" s="24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43" t="s">
        <v>59</v>
      </c>
      <c r="O53" s="31" t="s">
        <v>93</v>
      </c>
      <c r="P53" s="14"/>
    </row>
    <row r="54" spans="1:20" ht="39.75" customHeight="1" x14ac:dyDescent="0.2">
      <c r="A54" s="18" t="s">
        <v>11</v>
      </c>
      <c r="B54" s="31" t="s">
        <v>47</v>
      </c>
      <c r="C54" s="18" t="s">
        <v>24</v>
      </c>
      <c r="D54" s="45" t="s">
        <v>147</v>
      </c>
      <c r="E54" s="55">
        <f>F54+G54+H54+I54+K54+J54+L54+M54</f>
        <v>7957.7999999999993</v>
      </c>
      <c r="F54" s="23">
        <v>790.8</v>
      </c>
      <c r="G54" s="24">
        <v>830.3</v>
      </c>
      <c r="H54" s="24">
        <v>973.9</v>
      </c>
      <c r="I54" s="24">
        <v>1022.4</v>
      </c>
      <c r="J54" s="24">
        <v>1063.3</v>
      </c>
      <c r="K54" s="24">
        <v>1104.8</v>
      </c>
      <c r="L54" s="24">
        <v>1059.7</v>
      </c>
      <c r="M54" s="24">
        <v>1112.5999999999999</v>
      </c>
      <c r="N54" s="27" t="s">
        <v>59</v>
      </c>
      <c r="O54" s="31" t="s">
        <v>30</v>
      </c>
      <c r="P54" s="14"/>
    </row>
    <row r="55" spans="1:20" ht="15" customHeight="1" x14ac:dyDescent="0.2">
      <c r="A55" s="20"/>
      <c r="B55" s="50" t="s">
        <v>54</v>
      </c>
      <c r="C55" s="20"/>
      <c r="D55" s="21"/>
      <c r="E55" s="57">
        <f>SUM(E52:E54)</f>
        <v>309080.90000000002</v>
      </c>
      <c r="F55" s="57">
        <f>F54+F53+F52</f>
        <v>28783.399999999998</v>
      </c>
      <c r="G55" s="57">
        <f>SUM(G52:G54)</f>
        <v>32776.9</v>
      </c>
      <c r="H55" s="57">
        <f>H54+H53+H52</f>
        <v>42701.4</v>
      </c>
      <c r="I55" s="57">
        <f>I54+I53+I52</f>
        <v>43295.4</v>
      </c>
      <c r="J55" s="57">
        <f>J54+J53+J52</f>
        <v>35426.900000000009</v>
      </c>
      <c r="K55" s="57">
        <f>SUM(K52:K54)</f>
        <v>46783.3</v>
      </c>
      <c r="L55" s="57">
        <f>SUM(L52:L54)</f>
        <v>38689.599999999999</v>
      </c>
      <c r="M55" s="57">
        <f>SUM(M52:M54)</f>
        <v>40624</v>
      </c>
      <c r="N55" s="96"/>
      <c r="O55" s="47"/>
      <c r="P55" s="14"/>
    </row>
    <row r="56" spans="1:20" ht="14.25" customHeight="1" x14ac:dyDescent="0.2">
      <c r="A56" s="18"/>
      <c r="B56" s="37" t="s">
        <v>29</v>
      </c>
      <c r="C56" s="18"/>
      <c r="D56" s="18"/>
      <c r="E56" s="55">
        <f>SUM(F56:M56)</f>
        <v>309080.89999999997</v>
      </c>
      <c r="F56" s="55">
        <f t="shared" ref="F56:I56" si="6">F55</f>
        <v>28783.399999999998</v>
      </c>
      <c r="G56" s="55">
        <f t="shared" si="6"/>
        <v>32776.9</v>
      </c>
      <c r="H56" s="55">
        <f t="shared" si="6"/>
        <v>42701.4</v>
      </c>
      <c r="I56" s="55">
        <f t="shared" si="6"/>
        <v>43295.4</v>
      </c>
      <c r="J56" s="55">
        <f t="shared" ref="J56" si="7">J55</f>
        <v>35426.900000000009</v>
      </c>
      <c r="K56" s="55">
        <f>K55</f>
        <v>46783.3</v>
      </c>
      <c r="L56" s="55">
        <f>L55</f>
        <v>38689.599999999999</v>
      </c>
      <c r="M56" s="55">
        <f>M55</f>
        <v>40624</v>
      </c>
      <c r="N56" s="96"/>
      <c r="O56" s="31"/>
      <c r="P56" s="14"/>
    </row>
    <row r="57" spans="1:20" ht="16.5" customHeight="1" x14ac:dyDescent="0.2">
      <c r="A57" s="113" t="s">
        <v>110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5"/>
      <c r="P57" s="14"/>
    </row>
    <row r="58" spans="1:20" s="12" customFormat="1" ht="34.5" customHeight="1" x14ac:dyDescent="0.2">
      <c r="A58" s="18" t="s">
        <v>12</v>
      </c>
      <c r="B58" s="31" t="s">
        <v>45</v>
      </c>
      <c r="C58" s="18" t="s">
        <v>24</v>
      </c>
      <c r="D58" s="45" t="s">
        <v>147</v>
      </c>
      <c r="E58" s="55">
        <f>F58+G58+H58+I58+K58+J58+L58+M58</f>
        <v>76611.700000000012</v>
      </c>
      <c r="F58" s="23">
        <v>7511.7</v>
      </c>
      <c r="G58" s="24">
        <f>6302.7+1600+96.4</f>
        <v>7999.0999999999995</v>
      </c>
      <c r="H58" s="24">
        <v>9832.2999999999993</v>
      </c>
      <c r="I58" s="56">
        <f>7313.5+3566.9</f>
        <v>10880.4</v>
      </c>
      <c r="J58" s="56">
        <v>11303</v>
      </c>
      <c r="K58" s="56">
        <v>11729.3</v>
      </c>
      <c r="L58" s="56">
        <v>8466.2999999999993</v>
      </c>
      <c r="M58" s="56">
        <v>8889.6</v>
      </c>
      <c r="N58" s="43" t="s">
        <v>59</v>
      </c>
      <c r="O58" s="31" t="s">
        <v>31</v>
      </c>
      <c r="P58" s="14"/>
    </row>
    <row r="59" spans="1:20" ht="71.25" customHeight="1" x14ac:dyDescent="0.2">
      <c r="A59" s="18" t="s">
        <v>13</v>
      </c>
      <c r="B59" s="31" t="s">
        <v>46</v>
      </c>
      <c r="C59" s="18" t="s">
        <v>24</v>
      </c>
      <c r="D59" s="45" t="s">
        <v>76</v>
      </c>
      <c r="E59" s="55">
        <f>F59+G59+H59+I59+K59+J59</f>
        <v>315</v>
      </c>
      <c r="F59" s="23">
        <v>315</v>
      </c>
      <c r="G59" s="24">
        <v>0</v>
      </c>
      <c r="H59" s="24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43" t="s">
        <v>59</v>
      </c>
      <c r="O59" s="31" t="s">
        <v>32</v>
      </c>
      <c r="P59" s="14"/>
    </row>
    <row r="60" spans="1:20" ht="39" customHeight="1" x14ac:dyDescent="0.2">
      <c r="A60" s="18" t="s">
        <v>22</v>
      </c>
      <c r="B60" s="31" t="s">
        <v>50</v>
      </c>
      <c r="C60" s="18" t="s">
        <v>24</v>
      </c>
      <c r="D60" s="45" t="s">
        <v>147</v>
      </c>
      <c r="E60" s="55">
        <f>F60+G60+H60+I60+K60+J60+L60+M60</f>
        <v>10252.1</v>
      </c>
      <c r="F60" s="23">
        <v>1090</v>
      </c>
      <c r="G60" s="24">
        <v>1144.5</v>
      </c>
      <c r="H60" s="24">
        <v>1045.5</v>
      </c>
      <c r="I60" s="24">
        <v>1261.8</v>
      </c>
      <c r="J60" s="24">
        <v>1324.9</v>
      </c>
      <c r="K60" s="24">
        <f>1391.1</f>
        <v>1391.1</v>
      </c>
      <c r="L60" s="24">
        <v>1460.6</v>
      </c>
      <c r="M60" s="24">
        <v>1533.7</v>
      </c>
      <c r="N60" s="27" t="s">
        <v>59</v>
      </c>
      <c r="O60" s="31" t="s">
        <v>70</v>
      </c>
      <c r="P60" s="14"/>
    </row>
    <row r="61" spans="1:20" ht="38.25" customHeight="1" x14ac:dyDescent="0.2">
      <c r="A61" s="52" t="s">
        <v>101</v>
      </c>
      <c r="B61" s="47" t="s">
        <v>102</v>
      </c>
      <c r="C61" s="18" t="s">
        <v>24</v>
      </c>
      <c r="D61" s="45" t="s">
        <v>157</v>
      </c>
      <c r="E61" s="55">
        <f>SUM(F61:M61)</f>
        <v>324</v>
      </c>
      <c r="F61" s="46">
        <v>0</v>
      </c>
      <c r="G61" s="28">
        <v>40</v>
      </c>
      <c r="H61" s="28">
        <v>50</v>
      </c>
      <c r="I61" s="28">
        <v>75</v>
      </c>
      <c r="J61" s="28">
        <v>78</v>
      </c>
      <c r="K61" s="28">
        <v>81</v>
      </c>
      <c r="L61" s="28">
        <v>0</v>
      </c>
      <c r="M61" s="28">
        <v>0</v>
      </c>
      <c r="N61" s="27" t="s">
        <v>59</v>
      </c>
      <c r="O61" s="58" t="s">
        <v>105</v>
      </c>
      <c r="P61" s="14"/>
    </row>
    <row r="62" spans="1:20" ht="69" customHeight="1" x14ac:dyDescent="0.2">
      <c r="A62" s="59" t="s">
        <v>139</v>
      </c>
      <c r="B62" s="47" t="s">
        <v>140</v>
      </c>
      <c r="C62" s="18" t="s">
        <v>24</v>
      </c>
      <c r="D62" s="21" t="s">
        <v>138</v>
      </c>
      <c r="E62" s="60">
        <f>SUM(F62:K62)</f>
        <v>4856.1000000000004</v>
      </c>
      <c r="F62" s="46">
        <v>0</v>
      </c>
      <c r="G62" s="28">
        <v>0</v>
      </c>
      <c r="H62" s="28">
        <v>4856.1000000000004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7" t="s">
        <v>59</v>
      </c>
      <c r="O62" s="31" t="s">
        <v>32</v>
      </c>
      <c r="P62" s="14"/>
    </row>
    <row r="63" spans="1:20" ht="15" customHeight="1" x14ac:dyDescent="0.2">
      <c r="A63" s="49"/>
      <c r="B63" s="50" t="s">
        <v>55</v>
      </c>
      <c r="C63" s="20"/>
      <c r="D63" s="21"/>
      <c r="E63" s="55">
        <f t="shared" ref="E63:K63" si="8">SUM(E58:E62)</f>
        <v>92358.900000000023</v>
      </c>
      <c r="F63" s="55">
        <f t="shared" si="8"/>
        <v>8916.7000000000007</v>
      </c>
      <c r="G63" s="55">
        <f t="shared" si="8"/>
        <v>9183.5999999999985</v>
      </c>
      <c r="H63" s="55">
        <f t="shared" si="8"/>
        <v>15783.9</v>
      </c>
      <c r="I63" s="55">
        <f t="shared" si="8"/>
        <v>12217.199999999999</v>
      </c>
      <c r="J63" s="55">
        <f t="shared" si="8"/>
        <v>12705.9</v>
      </c>
      <c r="K63" s="55">
        <f t="shared" si="8"/>
        <v>13201.4</v>
      </c>
      <c r="L63" s="57">
        <f>SUM(L58:L62)</f>
        <v>9926.9</v>
      </c>
      <c r="M63" s="57">
        <f>SUM(M58:M62)</f>
        <v>10423.300000000001</v>
      </c>
      <c r="N63" s="96"/>
      <c r="O63" s="61"/>
      <c r="P63" s="14"/>
    </row>
    <row r="64" spans="1:20" ht="15" customHeight="1" x14ac:dyDescent="0.2">
      <c r="A64" s="18"/>
      <c r="B64" s="37" t="s">
        <v>29</v>
      </c>
      <c r="C64" s="18"/>
      <c r="D64" s="18"/>
      <c r="E64" s="55">
        <f>SUM(F64:M64)</f>
        <v>92358.9</v>
      </c>
      <c r="F64" s="55">
        <f t="shared" ref="F64:I64" si="9">F63</f>
        <v>8916.7000000000007</v>
      </c>
      <c r="G64" s="55">
        <f t="shared" si="9"/>
        <v>9183.5999999999985</v>
      </c>
      <c r="H64" s="55">
        <f t="shared" si="9"/>
        <v>15783.9</v>
      </c>
      <c r="I64" s="55">
        <f t="shared" si="9"/>
        <v>12217.199999999999</v>
      </c>
      <c r="J64" s="55">
        <f t="shared" ref="J64" si="10">J63</f>
        <v>12705.9</v>
      </c>
      <c r="K64" s="55">
        <f>K63</f>
        <v>13201.4</v>
      </c>
      <c r="L64" s="55">
        <f>L63</f>
        <v>9926.9</v>
      </c>
      <c r="M64" s="55">
        <f>M63</f>
        <v>10423.300000000001</v>
      </c>
      <c r="N64" s="96"/>
      <c r="O64" s="31"/>
      <c r="P64" s="14"/>
    </row>
    <row r="65" spans="1:20" ht="16.5" customHeight="1" x14ac:dyDescent="0.2">
      <c r="A65" s="116" t="s">
        <v>111</v>
      </c>
      <c r="B65" s="117"/>
      <c r="C65" s="117"/>
      <c r="D65" s="117"/>
      <c r="E65" s="105"/>
      <c r="F65" s="117"/>
      <c r="G65" s="117"/>
      <c r="H65" s="117"/>
      <c r="I65" s="117"/>
      <c r="J65" s="117"/>
      <c r="K65" s="117"/>
      <c r="L65" s="117"/>
      <c r="M65" s="117"/>
      <c r="N65" s="117"/>
      <c r="O65" s="118"/>
      <c r="P65" s="14"/>
      <c r="Q65" s="141"/>
      <c r="R65" s="142"/>
      <c r="S65" s="142"/>
      <c r="T65" s="142"/>
    </row>
    <row r="66" spans="1:20" ht="45" customHeight="1" x14ac:dyDescent="0.2">
      <c r="A66" s="18" t="s">
        <v>14</v>
      </c>
      <c r="B66" s="31" t="s">
        <v>69</v>
      </c>
      <c r="C66" s="62" t="s">
        <v>24</v>
      </c>
      <c r="D66" s="45" t="s">
        <v>147</v>
      </c>
      <c r="E66" s="55">
        <f>SUM(F66:M66)</f>
        <v>120746.59999999999</v>
      </c>
      <c r="F66" s="23">
        <v>10695.4</v>
      </c>
      <c r="G66" s="24">
        <f>11593.2+5+495</f>
        <v>12093.2</v>
      </c>
      <c r="H66" s="24">
        <f>11262.3+2151.9</f>
        <v>13414.199999999999</v>
      </c>
      <c r="I66" s="56">
        <f>11825.4+4431.6+5750</f>
        <v>22007</v>
      </c>
      <c r="J66" s="56">
        <v>16907.2</v>
      </c>
      <c r="K66" s="56">
        <v>17566.400000000001</v>
      </c>
      <c r="L66" s="56">
        <v>13689.4</v>
      </c>
      <c r="M66" s="56">
        <v>14373.8</v>
      </c>
      <c r="N66" s="43" t="s">
        <v>59</v>
      </c>
      <c r="O66" s="31" t="s">
        <v>33</v>
      </c>
      <c r="P66" s="14"/>
    </row>
    <row r="67" spans="1:20" ht="46.5" customHeight="1" x14ac:dyDescent="0.2">
      <c r="A67" s="18" t="s">
        <v>15</v>
      </c>
      <c r="B67" s="31" t="s">
        <v>71</v>
      </c>
      <c r="C67" s="18" t="s">
        <v>24</v>
      </c>
      <c r="D67" s="45" t="s">
        <v>76</v>
      </c>
      <c r="E67" s="55">
        <f>F67+G67+H67+I67+K67+J67</f>
        <v>500</v>
      </c>
      <c r="F67" s="23">
        <v>500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56">
        <v>0</v>
      </c>
      <c r="M67" s="56">
        <v>0</v>
      </c>
      <c r="N67" s="43" t="s">
        <v>59</v>
      </c>
      <c r="O67" s="27" t="s">
        <v>38</v>
      </c>
      <c r="P67" s="14"/>
    </row>
    <row r="68" spans="1:20" ht="33" customHeight="1" x14ac:dyDescent="0.2">
      <c r="A68" s="18" t="s">
        <v>16</v>
      </c>
      <c r="B68" s="31" t="s">
        <v>34</v>
      </c>
      <c r="C68" s="18" t="s">
        <v>24</v>
      </c>
      <c r="D68" s="45" t="s">
        <v>147</v>
      </c>
      <c r="E68" s="55">
        <f>F68+G68+H68+I68+K68+J68+L68+M68</f>
        <v>145.6</v>
      </c>
      <c r="F68" s="23">
        <v>5</v>
      </c>
      <c r="G68" s="24">
        <f>17.9-5</f>
        <v>12.899999999999999</v>
      </c>
      <c r="H68" s="24">
        <v>18.8</v>
      </c>
      <c r="I68" s="56">
        <v>19.8</v>
      </c>
      <c r="J68" s="56">
        <v>20.7</v>
      </c>
      <c r="K68" s="56">
        <f>21.7</f>
        <v>21.7</v>
      </c>
      <c r="L68" s="56">
        <v>22.8</v>
      </c>
      <c r="M68" s="56">
        <v>23.9</v>
      </c>
      <c r="N68" s="43" t="s">
        <v>59</v>
      </c>
      <c r="O68" s="31" t="s">
        <v>35</v>
      </c>
      <c r="P68" s="14"/>
    </row>
    <row r="69" spans="1:20" s="13" customFormat="1" ht="84.75" customHeight="1" x14ac:dyDescent="0.2">
      <c r="A69" s="18" t="s">
        <v>95</v>
      </c>
      <c r="B69" s="31" t="s">
        <v>97</v>
      </c>
      <c r="C69" s="18" t="s">
        <v>24</v>
      </c>
      <c r="D69" s="45" t="s">
        <v>154</v>
      </c>
      <c r="E69" s="55">
        <f>F69+G69+H69+I69+K69+J69+L69+M69</f>
        <v>186.20000000000002</v>
      </c>
      <c r="F69" s="23">
        <v>12</v>
      </c>
      <c r="G69" s="24">
        <v>30</v>
      </c>
      <c r="H69" s="24">
        <v>35</v>
      </c>
      <c r="I69" s="56">
        <v>35</v>
      </c>
      <c r="J69" s="56">
        <v>36.4</v>
      </c>
      <c r="K69" s="56">
        <v>37.799999999999997</v>
      </c>
      <c r="L69" s="56">
        <v>0</v>
      </c>
      <c r="M69" s="56">
        <v>0</v>
      </c>
      <c r="N69" s="43" t="s">
        <v>59</v>
      </c>
      <c r="O69" s="31" t="s">
        <v>96</v>
      </c>
      <c r="P69" s="63"/>
    </row>
    <row r="70" spans="1:20" s="13" customFormat="1" ht="19.5" customHeight="1" x14ac:dyDescent="0.2">
      <c r="A70" s="64"/>
      <c r="B70" s="65" t="s">
        <v>56</v>
      </c>
      <c r="C70" s="66"/>
      <c r="D70" s="67"/>
      <c r="E70" s="68">
        <f>SUM(E66:E69)</f>
        <v>121578.4</v>
      </c>
      <c r="F70" s="55">
        <f t="shared" ref="F70:I70" si="11">SUM(F66:F69)</f>
        <v>11212.4</v>
      </c>
      <c r="G70" s="55">
        <f>SUM(G66:G69)</f>
        <v>12136.1</v>
      </c>
      <c r="H70" s="55">
        <f t="shared" si="11"/>
        <v>13467.999999999998</v>
      </c>
      <c r="I70" s="55">
        <f t="shared" si="11"/>
        <v>22061.8</v>
      </c>
      <c r="J70" s="55">
        <f t="shared" ref="J70" si="12">SUM(J66:J69)</f>
        <v>16964.300000000003</v>
      </c>
      <c r="K70" s="55">
        <f>SUM(K66:K69)</f>
        <v>17625.900000000001</v>
      </c>
      <c r="L70" s="57">
        <f>SUM(L66:L69)</f>
        <v>13712.199999999999</v>
      </c>
      <c r="M70" s="57">
        <f>SUM(M66:M69)</f>
        <v>14397.699999999999</v>
      </c>
      <c r="N70" s="95"/>
      <c r="O70" s="69"/>
      <c r="P70" s="63"/>
    </row>
    <row r="71" spans="1:20" ht="15.75" customHeight="1" x14ac:dyDescent="0.2">
      <c r="A71" s="67"/>
      <c r="B71" s="37" t="s">
        <v>29</v>
      </c>
      <c r="C71" s="67"/>
      <c r="D71" s="67"/>
      <c r="E71" s="55">
        <f>SUM(F71:M71)</f>
        <v>121578.4</v>
      </c>
      <c r="F71" s="55">
        <f t="shared" ref="F71:I71" si="13">F70</f>
        <v>11212.4</v>
      </c>
      <c r="G71" s="55">
        <f t="shared" si="13"/>
        <v>12136.1</v>
      </c>
      <c r="H71" s="55">
        <f t="shared" si="13"/>
        <v>13467.999999999998</v>
      </c>
      <c r="I71" s="55">
        <f t="shared" si="13"/>
        <v>22061.8</v>
      </c>
      <c r="J71" s="55">
        <f t="shared" ref="J71" si="14">J70</f>
        <v>16964.300000000003</v>
      </c>
      <c r="K71" s="55">
        <f>K70</f>
        <v>17625.900000000001</v>
      </c>
      <c r="L71" s="55">
        <f>L70</f>
        <v>13712.199999999999</v>
      </c>
      <c r="M71" s="55">
        <f>M70</f>
        <v>14397.699999999999</v>
      </c>
      <c r="N71" s="95"/>
      <c r="O71" s="70"/>
      <c r="P71" s="14"/>
    </row>
    <row r="72" spans="1:20" ht="16.5" customHeight="1" x14ac:dyDescent="0.2">
      <c r="A72" s="119" t="s">
        <v>112</v>
      </c>
      <c r="B72" s="119"/>
      <c r="C72" s="119"/>
      <c r="D72" s="119"/>
      <c r="E72" s="120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4"/>
      <c r="T72" s="3" t="s">
        <v>49</v>
      </c>
    </row>
    <row r="73" spans="1:20" ht="51" customHeight="1" x14ac:dyDescent="0.2">
      <c r="A73" s="18" t="s">
        <v>17</v>
      </c>
      <c r="B73" s="31" t="s">
        <v>36</v>
      </c>
      <c r="C73" s="18" t="s">
        <v>24</v>
      </c>
      <c r="D73" s="45" t="s">
        <v>103</v>
      </c>
      <c r="E73" s="55">
        <f>F73+G73+H73+I73+K73+J73</f>
        <v>615.1</v>
      </c>
      <c r="F73" s="23">
        <v>335.6</v>
      </c>
      <c r="G73" s="24">
        <f>262.5+50-33</f>
        <v>279.5</v>
      </c>
      <c r="H73" s="24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43" t="s">
        <v>59</v>
      </c>
      <c r="O73" s="31" t="s">
        <v>84</v>
      </c>
      <c r="P73" s="14"/>
    </row>
    <row r="74" spans="1:20" ht="54" customHeight="1" x14ac:dyDescent="0.2">
      <c r="A74" s="18" t="s">
        <v>18</v>
      </c>
      <c r="B74" s="31" t="s">
        <v>37</v>
      </c>
      <c r="C74" s="18" t="s">
        <v>24</v>
      </c>
      <c r="D74" s="45" t="s">
        <v>103</v>
      </c>
      <c r="E74" s="55">
        <f>F74+G74+H74+I74+K74+J74</f>
        <v>2495.5</v>
      </c>
      <c r="F74" s="23">
        <f>2131-3</f>
        <v>2128</v>
      </c>
      <c r="G74" s="24">
        <v>367.5</v>
      </c>
      <c r="H74" s="24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27" t="s">
        <v>59</v>
      </c>
      <c r="O74" s="31" t="s">
        <v>84</v>
      </c>
      <c r="P74" s="14"/>
    </row>
    <row r="75" spans="1:20" s="13" customFormat="1" ht="49.5" customHeight="1" x14ac:dyDescent="0.2">
      <c r="A75" s="18" t="s">
        <v>19</v>
      </c>
      <c r="B75" s="71" t="s">
        <v>42</v>
      </c>
      <c r="C75" s="18" t="s">
        <v>24</v>
      </c>
      <c r="D75" s="45" t="s">
        <v>103</v>
      </c>
      <c r="E75" s="55">
        <f>F75+G75+H75+I75+K75+J75</f>
        <v>2828.4</v>
      </c>
      <c r="F75" s="46">
        <f>840+3</f>
        <v>843</v>
      </c>
      <c r="G75" s="28">
        <f>500+1285.4+200</f>
        <v>1985.4</v>
      </c>
      <c r="H75" s="28">
        <v>0</v>
      </c>
      <c r="I75" s="25">
        <v>0</v>
      </c>
      <c r="J75" s="25">
        <v>0</v>
      </c>
      <c r="K75" s="56">
        <v>0</v>
      </c>
      <c r="L75" s="56">
        <v>0</v>
      </c>
      <c r="M75" s="56">
        <v>0</v>
      </c>
      <c r="N75" s="43" t="s">
        <v>59</v>
      </c>
      <c r="O75" s="31" t="s">
        <v>84</v>
      </c>
      <c r="P75" s="63"/>
    </row>
    <row r="76" spans="1:20" s="13" customFormat="1" ht="49.5" customHeight="1" x14ac:dyDescent="0.2">
      <c r="A76" s="72" t="s">
        <v>141</v>
      </c>
      <c r="B76" s="73" t="s">
        <v>142</v>
      </c>
      <c r="C76" s="18" t="s">
        <v>24</v>
      </c>
      <c r="D76" s="21" t="s">
        <v>149</v>
      </c>
      <c r="E76" s="68">
        <f>SUM(F76:M76)</f>
        <v>12895.699999999997</v>
      </c>
      <c r="F76" s="46">
        <v>0</v>
      </c>
      <c r="G76" s="28">
        <v>0</v>
      </c>
      <c r="H76" s="28">
        <v>1894.9</v>
      </c>
      <c r="I76" s="25">
        <f>1077.1+1622.8-409+402</f>
        <v>2692.8999999999996</v>
      </c>
      <c r="J76" s="25">
        <f>1120.2+1687.7</f>
        <v>2807.9</v>
      </c>
      <c r="K76" s="56">
        <f>1163.9+1753.5</f>
        <v>2917.4</v>
      </c>
      <c r="L76" s="56">
        <v>1259.8</v>
      </c>
      <c r="M76" s="56">
        <v>1322.8</v>
      </c>
      <c r="N76" s="43" t="s">
        <v>59</v>
      </c>
      <c r="O76" s="31" t="s">
        <v>84</v>
      </c>
      <c r="P76" s="63"/>
    </row>
    <row r="77" spans="1:20" s="13" customFormat="1" ht="12" customHeight="1" x14ac:dyDescent="0.2">
      <c r="A77" s="64"/>
      <c r="B77" s="65" t="s">
        <v>57</v>
      </c>
      <c r="C77" s="66"/>
      <c r="D77" s="74"/>
      <c r="E77" s="68">
        <f t="shared" ref="E77:K77" si="15">SUM(E73:E76)</f>
        <v>18834.699999999997</v>
      </c>
      <c r="F77" s="55">
        <f t="shared" si="15"/>
        <v>3306.6</v>
      </c>
      <c r="G77" s="55">
        <f t="shared" si="15"/>
        <v>2632.4</v>
      </c>
      <c r="H77" s="55">
        <f t="shared" si="15"/>
        <v>1894.9</v>
      </c>
      <c r="I77" s="55">
        <f t="shared" si="15"/>
        <v>2692.8999999999996</v>
      </c>
      <c r="J77" s="55">
        <f t="shared" si="15"/>
        <v>2807.9</v>
      </c>
      <c r="K77" s="55">
        <f t="shared" si="15"/>
        <v>2917.4</v>
      </c>
      <c r="L77" s="57">
        <f>SUM(L73:L76)</f>
        <v>1259.8</v>
      </c>
      <c r="M77" s="57">
        <f>SUM(M73:M76)</f>
        <v>1322.8</v>
      </c>
      <c r="N77" s="94"/>
      <c r="O77" s="69"/>
      <c r="P77" s="63"/>
    </row>
    <row r="78" spans="1:20" ht="15.75" customHeight="1" x14ac:dyDescent="0.2">
      <c r="A78" s="67"/>
      <c r="B78" s="37" t="s">
        <v>29</v>
      </c>
      <c r="C78" s="67"/>
      <c r="D78" s="75"/>
      <c r="E78" s="55">
        <f>SUM(F78:M78)</f>
        <v>18834.699999999997</v>
      </c>
      <c r="F78" s="55">
        <f t="shared" ref="F78:I78" si="16">F77</f>
        <v>3306.6</v>
      </c>
      <c r="G78" s="55">
        <f t="shared" si="16"/>
        <v>2632.4</v>
      </c>
      <c r="H78" s="55">
        <f t="shared" si="16"/>
        <v>1894.9</v>
      </c>
      <c r="I78" s="55">
        <f t="shared" si="16"/>
        <v>2692.8999999999996</v>
      </c>
      <c r="J78" s="55">
        <f t="shared" ref="J78" si="17">J77</f>
        <v>2807.9</v>
      </c>
      <c r="K78" s="55">
        <f>K77</f>
        <v>2917.4</v>
      </c>
      <c r="L78" s="55">
        <f>L77</f>
        <v>1259.8</v>
      </c>
      <c r="M78" s="55">
        <f>M77</f>
        <v>1322.8</v>
      </c>
      <c r="N78" s="94"/>
      <c r="O78" s="70"/>
      <c r="P78" s="14"/>
    </row>
    <row r="79" spans="1:20" ht="16.5" customHeight="1" x14ac:dyDescent="0.2">
      <c r="A79" s="109" t="s">
        <v>113</v>
      </c>
      <c r="B79" s="110"/>
      <c r="C79" s="110"/>
      <c r="D79" s="110"/>
      <c r="E79" s="111"/>
      <c r="F79" s="110"/>
      <c r="G79" s="110"/>
      <c r="H79" s="110"/>
      <c r="I79" s="110"/>
      <c r="J79" s="110"/>
      <c r="K79" s="110"/>
      <c r="L79" s="110"/>
      <c r="M79" s="110"/>
      <c r="N79" s="110"/>
      <c r="O79" s="112"/>
      <c r="P79" s="14"/>
    </row>
    <row r="80" spans="1:20" ht="88.5" customHeight="1" x14ac:dyDescent="0.2">
      <c r="A80" s="18" t="s">
        <v>44</v>
      </c>
      <c r="B80" s="27" t="s">
        <v>85</v>
      </c>
      <c r="C80" s="18" t="s">
        <v>29</v>
      </c>
      <c r="D80" s="45" t="s">
        <v>147</v>
      </c>
      <c r="E80" s="22">
        <f>F80+G80+H80+I80+K80+J80+L80+M80</f>
        <v>59815.8</v>
      </c>
      <c r="F80" s="40">
        <v>5970</v>
      </c>
      <c r="G80" s="41">
        <v>6368.5</v>
      </c>
      <c r="H80" s="41">
        <v>7072.3</v>
      </c>
      <c r="I80" s="42">
        <f>6911+589+600</f>
        <v>8100</v>
      </c>
      <c r="J80" s="42">
        <v>7800</v>
      </c>
      <c r="K80" s="42">
        <v>8104.2</v>
      </c>
      <c r="L80" s="42">
        <v>8000.4</v>
      </c>
      <c r="M80" s="42">
        <v>8400.4</v>
      </c>
      <c r="N80" s="43" t="s">
        <v>59</v>
      </c>
      <c r="O80" s="27" t="s">
        <v>39</v>
      </c>
      <c r="P80" s="14"/>
    </row>
    <row r="81" spans="1:16" ht="89.25" customHeight="1" x14ac:dyDescent="0.2">
      <c r="A81" s="18" t="s">
        <v>60</v>
      </c>
      <c r="B81" s="27" t="s">
        <v>61</v>
      </c>
      <c r="C81" s="18" t="s">
        <v>29</v>
      </c>
      <c r="D81" s="45" t="s">
        <v>147</v>
      </c>
      <c r="E81" s="22">
        <f>F81+G81+H81+I81+K81+J81+L81+M81</f>
        <v>107557.4</v>
      </c>
      <c r="F81" s="40">
        <v>12559.9</v>
      </c>
      <c r="G81" s="41">
        <f>13359.9</f>
        <v>13359.9</v>
      </c>
      <c r="H81" s="41">
        <v>12000</v>
      </c>
      <c r="I81" s="41">
        <v>11000</v>
      </c>
      <c r="J81" s="41">
        <v>11515</v>
      </c>
      <c r="K81" s="41">
        <v>14042.1</v>
      </c>
      <c r="L81" s="41">
        <v>16136.8</v>
      </c>
      <c r="M81" s="41">
        <v>16943.7</v>
      </c>
      <c r="N81" s="27" t="s">
        <v>59</v>
      </c>
      <c r="O81" s="27" t="s">
        <v>39</v>
      </c>
      <c r="P81" s="14"/>
    </row>
    <row r="82" spans="1:16" ht="12.75" customHeight="1" x14ac:dyDescent="0.2">
      <c r="A82" s="67"/>
      <c r="B82" s="70" t="s">
        <v>43</v>
      </c>
      <c r="C82" s="67"/>
      <c r="D82" s="75"/>
      <c r="E82" s="55">
        <f>E81+E80</f>
        <v>167373.20000000001</v>
      </c>
      <c r="F82" s="55">
        <f t="shared" ref="F82:K82" si="18">SUM(F80:F81)</f>
        <v>18529.900000000001</v>
      </c>
      <c r="G82" s="55">
        <f t="shared" si="18"/>
        <v>19728.400000000001</v>
      </c>
      <c r="H82" s="55">
        <f t="shared" si="18"/>
        <v>19072.3</v>
      </c>
      <c r="I82" s="55">
        <f t="shared" si="18"/>
        <v>19100</v>
      </c>
      <c r="J82" s="55">
        <f t="shared" si="18"/>
        <v>19315</v>
      </c>
      <c r="K82" s="55">
        <f t="shared" si="18"/>
        <v>22146.3</v>
      </c>
      <c r="L82" s="55">
        <f>SUM(L80:L81)</f>
        <v>24137.199999999997</v>
      </c>
      <c r="M82" s="55">
        <f>SUM(M80:M81)</f>
        <v>25344.1</v>
      </c>
      <c r="N82" s="93"/>
      <c r="O82" s="70"/>
      <c r="P82" s="14"/>
    </row>
    <row r="83" spans="1:16" ht="15.75" customHeight="1" x14ac:dyDescent="0.2">
      <c r="A83" s="67"/>
      <c r="B83" s="37" t="s">
        <v>29</v>
      </c>
      <c r="C83" s="67"/>
      <c r="D83" s="75"/>
      <c r="E83" s="57">
        <f>SUM(F83:M83)</f>
        <v>167373.20000000001</v>
      </c>
      <c r="F83" s="55">
        <f t="shared" ref="F83:I83" si="19">F82</f>
        <v>18529.900000000001</v>
      </c>
      <c r="G83" s="55">
        <f t="shared" si="19"/>
        <v>19728.400000000001</v>
      </c>
      <c r="H83" s="55">
        <f t="shared" si="19"/>
        <v>19072.3</v>
      </c>
      <c r="I83" s="55">
        <f t="shared" si="19"/>
        <v>19100</v>
      </c>
      <c r="J83" s="55">
        <f t="shared" ref="J83" si="20">J82</f>
        <v>19315</v>
      </c>
      <c r="K83" s="55">
        <f>K82</f>
        <v>22146.3</v>
      </c>
      <c r="L83" s="76">
        <f>L82</f>
        <v>24137.199999999997</v>
      </c>
      <c r="M83" s="76">
        <f>M82</f>
        <v>25344.1</v>
      </c>
      <c r="N83" s="92"/>
      <c r="O83" s="70"/>
      <c r="P83" s="14"/>
    </row>
    <row r="84" spans="1:16" ht="15.75" customHeight="1" x14ac:dyDescent="0.2">
      <c r="A84" s="104" t="s">
        <v>114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6"/>
      <c r="P84" s="14"/>
    </row>
    <row r="85" spans="1:16" ht="33" customHeight="1" x14ac:dyDescent="0.2">
      <c r="A85" s="129" t="s">
        <v>115</v>
      </c>
      <c r="B85" s="101" t="s">
        <v>116</v>
      </c>
      <c r="C85" s="18" t="s">
        <v>29</v>
      </c>
      <c r="D85" s="45" t="s">
        <v>158</v>
      </c>
      <c r="E85" s="57">
        <f>SUM(F85:M85)</f>
        <v>6689.8</v>
      </c>
      <c r="F85" s="24">
        <v>0</v>
      </c>
      <c r="G85" s="24">
        <v>1000</v>
      </c>
      <c r="H85" s="24">
        <f>1000+600</f>
        <v>1600</v>
      </c>
      <c r="I85" s="24">
        <f>2700+409+744</f>
        <v>3853</v>
      </c>
      <c r="J85" s="24">
        <v>0</v>
      </c>
      <c r="K85" s="24">
        <v>0</v>
      </c>
      <c r="L85" s="24">
        <v>115.5</v>
      </c>
      <c r="M85" s="24">
        <v>121.3</v>
      </c>
      <c r="N85" s="101" t="s">
        <v>59</v>
      </c>
      <c r="O85" s="101" t="s">
        <v>120</v>
      </c>
      <c r="P85" s="14"/>
    </row>
    <row r="86" spans="1:16" ht="21" customHeight="1" x14ac:dyDescent="0.2">
      <c r="A86" s="130"/>
      <c r="B86" s="102"/>
      <c r="C86" s="18" t="s">
        <v>125</v>
      </c>
      <c r="D86" s="45" t="s">
        <v>144</v>
      </c>
      <c r="E86" s="57">
        <f t="shared" ref="E86:E87" si="21">SUM(F86:K86)</f>
        <v>26907.5</v>
      </c>
      <c r="F86" s="24">
        <v>0</v>
      </c>
      <c r="G86" s="24">
        <v>3495</v>
      </c>
      <c r="H86" s="24">
        <v>10560</v>
      </c>
      <c r="I86" s="24">
        <v>12852.5</v>
      </c>
      <c r="J86" s="24">
        <v>0</v>
      </c>
      <c r="K86" s="24">
        <v>0</v>
      </c>
      <c r="L86" s="24">
        <v>0</v>
      </c>
      <c r="M86" s="24">
        <v>0</v>
      </c>
      <c r="N86" s="102"/>
      <c r="O86" s="102"/>
      <c r="P86" s="14"/>
    </row>
    <row r="87" spans="1:16" ht="18.75" customHeight="1" x14ac:dyDescent="0.2">
      <c r="A87" s="131"/>
      <c r="B87" s="103"/>
      <c r="C87" s="18" t="s">
        <v>91</v>
      </c>
      <c r="D87" s="45" t="s">
        <v>144</v>
      </c>
      <c r="E87" s="57">
        <f t="shared" si="21"/>
        <v>57039.5</v>
      </c>
      <c r="F87" s="24">
        <v>0</v>
      </c>
      <c r="G87" s="24">
        <v>11505</v>
      </c>
      <c r="H87" s="24">
        <v>19440</v>
      </c>
      <c r="I87" s="24">
        <v>26094.5</v>
      </c>
      <c r="J87" s="24">
        <v>0</v>
      </c>
      <c r="K87" s="24">
        <v>0</v>
      </c>
      <c r="L87" s="24">
        <v>0</v>
      </c>
      <c r="M87" s="24">
        <v>0</v>
      </c>
      <c r="N87" s="103"/>
      <c r="O87" s="103"/>
      <c r="P87" s="14"/>
    </row>
    <row r="88" spans="1:16" ht="46.5" customHeight="1" x14ac:dyDescent="0.2">
      <c r="A88" s="18" t="s">
        <v>121</v>
      </c>
      <c r="B88" s="27" t="s">
        <v>122</v>
      </c>
      <c r="C88" s="18" t="s">
        <v>29</v>
      </c>
      <c r="D88" s="45" t="s">
        <v>159</v>
      </c>
      <c r="E88" s="57">
        <f>SUM(F88:M88)</f>
        <v>150.69999999999999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73.5</v>
      </c>
      <c r="M88" s="24">
        <v>77.2</v>
      </c>
      <c r="N88" s="27" t="s">
        <v>59</v>
      </c>
      <c r="O88" s="27" t="s">
        <v>120</v>
      </c>
      <c r="P88" s="14"/>
    </row>
    <row r="89" spans="1:16" ht="51" customHeight="1" x14ac:dyDescent="0.2">
      <c r="A89" s="18" t="s">
        <v>117</v>
      </c>
      <c r="B89" s="27" t="s">
        <v>118</v>
      </c>
      <c r="C89" s="18" t="s">
        <v>29</v>
      </c>
      <c r="D89" s="45" t="s">
        <v>158</v>
      </c>
      <c r="E89" s="57">
        <f>SUM(F89:M89)</f>
        <v>2744.1</v>
      </c>
      <c r="F89" s="24">
        <v>0</v>
      </c>
      <c r="G89" s="24">
        <f>87.5+100</f>
        <v>187.5</v>
      </c>
      <c r="H89" s="24">
        <v>750</v>
      </c>
      <c r="I89" s="24">
        <f>450+1500-337.1</f>
        <v>1612.9</v>
      </c>
      <c r="J89" s="24">
        <v>0</v>
      </c>
      <c r="K89" s="24">
        <v>0</v>
      </c>
      <c r="L89" s="24">
        <v>94.5</v>
      </c>
      <c r="M89" s="24">
        <v>99.2</v>
      </c>
      <c r="N89" s="27" t="s">
        <v>59</v>
      </c>
      <c r="O89" s="27" t="s">
        <v>120</v>
      </c>
      <c r="P89" s="14"/>
    </row>
    <row r="90" spans="1:16" ht="51" customHeight="1" x14ac:dyDescent="0.2">
      <c r="A90" s="18" t="s">
        <v>129</v>
      </c>
      <c r="B90" s="27" t="s">
        <v>130</v>
      </c>
      <c r="C90" s="18" t="s">
        <v>29</v>
      </c>
      <c r="D90" s="45" t="s">
        <v>160</v>
      </c>
      <c r="E90" s="57">
        <f>SUM(F90:M90)</f>
        <v>449.1</v>
      </c>
      <c r="F90" s="24">
        <v>0</v>
      </c>
      <c r="G90" s="24">
        <v>0</v>
      </c>
      <c r="H90" s="24">
        <v>0</v>
      </c>
      <c r="I90" s="24">
        <v>0</v>
      </c>
      <c r="J90" s="24">
        <v>104.2</v>
      </c>
      <c r="K90" s="24">
        <v>109.4</v>
      </c>
      <c r="L90" s="24">
        <v>114.9</v>
      </c>
      <c r="M90" s="24">
        <v>120.6</v>
      </c>
      <c r="N90" s="27" t="s">
        <v>59</v>
      </c>
      <c r="O90" s="27" t="s">
        <v>120</v>
      </c>
      <c r="P90" s="14"/>
    </row>
    <row r="91" spans="1:16" ht="16.5" customHeight="1" x14ac:dyDescent="0.2">
      <c r="A91" s="67"/>
      <c r="B91" s="37" t="s">
        <v>119</v>
      </c>
      <c r="C91" s="67"/>
      <c r="D91" s="75"/>
      <c r="E91" s="55">
        <f t="shared" ref="E91:K91" si="22">SUM(E85:E90)</f>
        <v>93980.700000000012</v>
      </c>
      <c r="F91" s="55">
        <f t="shared" si="22"/>
        <v>0</v>
      </c>
      <c r="G91" s="55">
        <f t="shared" si="22"/>
        <v>16187.5</v>
      </c>
      <c r="H91" s="55">
        <f t="shared" si="22"/>
        <v>32350</v>
      </c>
      <c r="I91" s="55">
        <f t="shared" si="22"/>
        <v>44412.9</v>
      </c>
      <c r="J91" s="55">
        <f t="shared" si="22"/>
        <v>104.2</v>
      </c>
      <c r="K91" s="55">
        <f t="shared" si="22"/>
        <v>109.4</v>
      </c>
      <c r="L91" s="76">
        <f>SUM(L85:L90)</f>
        <v>398.4</v>
      </c>
      <c r="M91" s="76">
        <f>SUM(M85:M90)</f>
        <v>418.29999999999995</v>
      </c>
      <c r="N91" s="77"/>
      <c r="O91" s="70"/>
      <c r="P91" s="14"/>
    </row>
    <row r="92" spans="1:16" ht="16.5" customHeight="1" x14ac:dyDescent="0.2">
      <c r="A92" s="67"/>
      <c r="B92" s="37" t="s">
        <v>29</v>
      </c>
      <c r="C92" s="67"/>
      <c r="D92" s="75"/>
      <c r="E92" s="55">
        <f>E91-E93-E94</f>
        <v>10033.700000000012</v>
      </c>
      <c r="F92" s="55">
        <f t="shared" ref="F92:I92" si="23">F91</f>
        <v>0</v>
      </c>
      <c r="G92" s="55">
        <f>G91-G93-G94</f>
        <v>1187.5</v>
      </c>
      <c r="H92" s="55">
        <f>H91-H93-H94</f>
        <v>2350</v>
      </c>
      <c r="I92" s="55">
        <f t="shared" si="23"/>
        <v>44412.9</v>
      </c>
      <c r="J92" s="55">
        <f t="shared" ref="J92" si="24">J91</f>
        <v>104.2</v>
      </c>
      <c r="K92" s="55">
        <f>SUM(K91)</f>
        <v>109.4</v>
      </c>
      <c r="L92" s="76">
        <f>L91</f>
        <v>398.4</v>
      </c>
      <c r="M92" s="76">
        <f>M91</f>
        <v>418.29999999999995</v>
      </c>
      <c r="N92" s="77"/>
      <c r="O92" s="70"/>
      <c r="P92" s="78"/>
    </row>
    <row r="93" spans="1:16" ht="16.5" customHeight="1" x14ac:dyDescent="0.2">
      <c r="A93" s="67"/>
      <c r="B93" s="37" t="s">
        <v>125</v>
      </c>
      <c r="C93" s="67"/>
      <c r="D93" s="75"/>
      <c r="E93" s="55">
        <f>SUM(F93:K93)</f>
        <v>26907.5</v>
      </c>
      <c r="F93" s="55">
        <f t="shared" ref="F93:K94" si="25">F86</f>
        <v>0</v>
      </c>
      <c r="G93" s="55">
        <f t="shared" si="25"/>
        <v>3495</v>
      </c>
      <c r="H93" s="55">
        <f t="shared" si="25"/>
        <v>10560</v>
      </c>
      <c r="I93" s="55">
        <f t="shared" si="25"/>
        <v>12852.5</v>
      </c>
      <c r="J93" s="55">
        <f t="shared" si="25"/>
        <v>0</v>
      </c>
      <c r="K93" s="55">
        <f t="shared" si="25"/>
        <v>0</v>
      </c>
      <c r="L93" s="76">
        <v>0</v>
      </c>
      <c r="M93" s="76">
        <v>0</v>
      </c>
      <c r="N93" s="77"/>
      <c r="O93" s="70"/>
      <c r="P93" s="78"/>
    </row>
    <row r="94" spans="1:16" ht="16.5" customHeight="1" x14ac:dyDescent="0.2">
      <c r="A94" s="67"/>
      <c r="B94" s="37" t="s">
        <v>91</v>
      </c>
      <c r="C94" s="67"/>
      <c r="D94" s="75"/>
      <c r="E94" s="55">
        <f>SUM(F94:K94)</f>
        <v>57039.5</v>
      </c>
      <c r="F94" s="55">
        <f t="shared" si="25"/>
        <v>0</v>
      </c>
      <c r="G94" s="55">
        <f t="shared" si="25"/>
        <v>11505</v>
      </c>
      <c r="H94" s="55">
        <f t="shared" si="25"/>
        <v>19440</v>
      </c>
      <c r="I94" s="55">
        <f t="shared" si="25"/>
        <v>26094.5</v>
      </c>
      <c r="J94" s="55">
        <f t="shared" si="25"/>
        <v>0</v>
      </c>
      <c r="K94" s="55">
        <f t="shared" si="25"/>
        <v>0</v>
      </c>
      <c r="L94" s="76">
        <v>0</v>
      </c>
      <c r="M94" s="76">
        <v>0</v>
      </c>
      <c r="N94" s="77"/>
      <c r="O94" s="70"/>
      <c r="P94" s="78"/>
    </row>
    <row r="95" spans="1:16" ht="20.25" customHeight="1" x14ac:dyDescent="0.2">
      <c r="A95" s="79"/>
      <c r="B95" s="37" t="s">
        <v>58</v>
      </c>
      <c r="C95" s="67"/>
      <c r="D95" s="75"/>
      <c r="E95" s="80">
        <f t="shared" ref="E95:J95" si="26">E91+E82+E77+E70+E63+E55+E47+E34</f>
        <v>1167473.3</v>
      </c>
      <c r="F95" s="80">
        <f t="shared" si="26"/>
        <v>127932.1</v>
      </c>
      <c r="G95" s="80">
        <f t="shared" si="26"/>
        <v>177579.69999999998</v>
      </c>
      <c r="H95" s="80">
        <f t="shared" si="26"/>
        <v>216315.80000000002</v>
      </c>
      <c r="I95" s="80">
        <f t="shared" si="26"/>
        <v>197117.3</v>
      </c>
      <c r="J95" s="80">
        <f t="shared" si="26"/>
        <v>112672.40000000002</v>
      </c>
      <c r="K95" s="80">
        <f>SUM(K91,K82,K77,K70,K63,K55,K47,K34)</f>
        <v>128072.10000000002</v>
      </c>
      <c r="L95" s="53">
        <f>L34+L47+L55+L63+L70+L77+L82+L91</f>
        <v>101358</v>
      </c>
      <c r="M95" s="53">
        <f>M34+M47+M55+M63+M70+M77+M82+M91</f>
        <v>106425.90000000001</v>
      </c>
      <c r="N95" s="81"/>
      <c r="O95" s="82"/>
      <c r="P95" s="78"/>
    </row>
    <row r="96" spans="1:16" ht="21.75" customHeight="1" x14ac:dyDescent="0.2">
      <c r="A96" s="83"/>
      <c r="B96" s="84" t="s">
        <v>29</v>
      </c>
      <c r="C96" s="83"/>
      <c r="D96" s="85"/>
      <c r="E96" s="86">
        <f>SUM(E95-E97-E98-E99)</f>
        <v>1001216.7000000001</v>
      </c>
      <c r="F96" s="87">
        <f>SUM(F95-F98-F99)</f>
        <v>114925.80000000002</v>
      </c>
      <c r="G96" s="86">
        <f>G95-G99-G97-G98</f>
        <v>143691.69999999998</v>
      </c>
      <c r="H96" s="86">
        <f>H95-H99-H97-H98</f>
        <v>157036.70000000001</v>
      </c>
      <c r="I96" s="86">
        <f>I95-I99-I97-I98</f>
        <v>138486.09999999998</v>
      </c>
      <c r="J96" s="86">
        <f t="shared" ref="J96:K96" si="27">J95-J99</f>
        <v>111946.40000000002</v>
      </c>
      <c r="K96" s="86">
        <f t="shared" si="27"/>
        <v>127346.10000000002</v>
      </c>
      <c r="L96" s="88">
        <f>L95</f>
        <v>101358</v>
      </c>
      <c r="M96" s="88">
        <f>M95</f>
        <v>106425.90000000001</v>
      </c>
      <c r="N96" s="21"/>
      <c r="O96" s="82"/>
      <c r="P96" s="78"/>
    </row>
    <row r="97" spans="1:16" ht="15.75" customHeight="1" x14ac:dyDescent="0.2">
      <c r="A97" s="83"/>
      <c r="B97" s="84" t="s">
        <v>125</v>
      </c>
      <c r="C97" s="83"/>
      <c r="D97" s="85"/>
      <c r="E97" s="86">
        <f>SUM(F97:K97)</f>
        <v>26907.5</v>
      </c>
      <c r="F97" s="87">
        <f t="shared" ref="F97:K97" si="28">F93</f>
        <v>0</v>
      </c>
      <c r="G97" s="86">
        <f t="shared" si="28"/>
        <v>3495</v>
      </c>
      <c r="H97" s="86">
        <f t="shared" si="28"/>
        <v>10560</v>
      </c>
      <c r="I97" s="86">
        <f t="shared" si="28"/>
        <v>12852.5</v>
      </c>
      <c r="J97" s="86">
        <f t="shared" si="28"/>
        <v>0</v>
      </c>
      <c r="K97" s="86">
        <f t="shared" si="28"/>
        <v>0</v>
      </c>
      <c r="L97" s="88">
        <v>0</v>
      </c>
      <c r="M97" s="88">
        <v>0</v>
      </c>
      <c r="N97" s="21"/>
      <c r="O97" s="82"/>
      <c r="P97" s="78"/>
    </row>
    <row r="98" spans="1:16" ht="24.75" customHeight="1" x14ac:dyDescent="0.2">
      <c r="A98" s="79"/>
      <c r="B98" s="37" t="s">
        <v>94</v>
      </c>
      <c r="C98" s="79"/>
      <c r="D98" s="89"/>
      <c r="E98" s="22">
        <f>SUM(F98:I98)</f>
        <v>48218.5</v>
      </c>
      <c r="F98" s="90">
        <f>F48</f>
        <v>12263.4</v>
      </c>
      <c r="G98" s="22">
        <f>G48</f>
        <v>14955.1</v>
      </c>
      <c r="H98" s="22">
        <v>21000</v>
      </c>
      <c r="I98" s="22">
        <f>I42</f>
        <v>0</v>
      </c>
      <c r="J98" s="22">
        <v>0</v>
      </c>
      <c r="K98" s="22">
        <v>0</v>
      </c>
      <c r="L98" s="91">
        <v>0</v>
      </c>
      <c r="M98" s="91">
        <v>0</v>
      </c>
      <c r="N98" s="42"/>
      <c r="O98" s="82"/>
      <c r="P98" s="78"/>
    </row>
    <row r="99" spans="1:16" ht="24.75" customHeight="1" x14ac:dyDescent="0.2">
      <c r="A99" s="18"/>
      <c r="B99" s="37" t="s">
        <v>91</v>
      </c>
      <c r="C99" s="18"/>
      <c r="D99" s="45"/>
      <c r="E99" s="22">
        <f>SUM(F99:K99)</f>
        <v>91130.599999999991</v>
      </c>
      <c r="F99" s="90">
        <f t="shared" ref="F99:K99" si="29">F94+F49+F36</f>
        <v>742.9</v>
      </c>
      <c r="G99" s="90">
        <f t="shared" si="29"/>
        <v>15437.9</v>
      </c>
      <c r="H99" s="90">
        <f t="shared" si="29"/>
        <v>27719.1</v>
      </c>
      <c r="I99" s="90">
        <f t="shared" si="29"/>
        <v>45778.7</v>
      </c>
      <c r="J99" s="90">
        <f t="shared" si="29"/>
        <v>726</v>
      </c>
      <c r="K99" s="90">
        <f t="shared" si="29"/>
        <v>726</v>
      </c>
      <c r="L99" s="90">
        <v>0</v>
      </c>
      <c r="M99" s="90">
        <v>0</v>
      </c>
      <c r="N99" s="27"/>
      <c r="O99" s="51"/>
      <c r="P99" s="78"/>
    </row>
    <row r="100" spans="1:16" ht="21.75" customHeight="1" x14ac:dyDescent="0.2"/>
    <row r="101" spans="1:16" ht="21.75" customHeight="1" x14ac:dyDescent="0.2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</row>
    <row r="102" spans="1:16" ht="21.75" customHeight="1" x14ac:dyDescent="0.2"/>
    <row r="103" spans="1:16" ht="21.75" customHeight="1" x14ac:dyDescent="0.2"/>
    <row r="104" spans="1:16" ht="21.75" customHeight="1" x14ac:dyDescent="0.2"/>
    <row r="105" spans="1:16" ht="21.75" customHeight="1" x14ac:dyDescent="0.2"/>
    <row r="106" spans="1:16" ht="21.75" customHeight="1" x14ac:dyDescent="0.2"/>
    <row r="107" spans="1:16" ht="21.75" customHeight="1" x14ac:dyDescent="0.2"/>
    <row r="108" spans="1:16" ht="21.75" customHeight="1" x14ac:dyDescent="0.2"/>
    <row r="109" spans="1:16" ht="21.75" customHeight="1" x14ac:dyDescent="0.2"/>
    <row r="110" spans="1:16" ht="37.5" customHeight="1" x14ac:dyDescent="0.2"/>
    <row r="111" spans="1:16" ht="76.5" customHeight="1" x14ac:dyDescent="0.2"/>
    <row r="112" spans="1:16" ht="44.25" customHeight="1" x14ac:dyDescent="0.2"/>
    <row r="113" spans="1:15" s="13" customFormat="1" ht="21.75" customHeight="1" x14ac:dyDescent="0.2">
      <c r="A113" s="3"/>
      <c r="B113" s="3"/>
      <c r="C113" s="3"/>
      <c r="D113" s="3"/>
      <c r="E113" s="3"/>
      <c r="F113" s="3"/>
      <c r="G113" s="3"/>
      <c r="H113" s="12"/>
      <c r="I113" s="12"/>
      <c r="J113" s="12"/>
      <c r="K113" s="12"/>
      <c r="L113" s="12"/>
      <c r="M113" s="12"/>
      <c r="N113" s="3"/>
      <c r="O113" s="3"/>
    </row>
    <row r="114" spans="1:15" ht="25.5" customHeight="1" x14ac:dyDescent="0.2"/>
    <row r="115" spans="1:15" ht="33" customHeight="1" x14ac:dyDescent="0.2"/>
    <row r="116" spans="1:15" ht="42.75" customHeight="1" x14ac:dyDescent="0.2"/>
    <row r="117" spans="1:15" ht="13.5" customHeight="1" x14ac:dyDescent="0.2"/>
    <row r="118" spans="1:15" ht="42.75" customHeight="1" x14ac:dyDescent="0.2"/>
    <row r="119" spans="1:15" ht="20.100000000000001" customHeight="1" x14ac:dyDescent="0.2"/>
  </sheetData>
  <mergeCells count="57">
    <mergeCell ref="Q65:T65"/>
    <mergeCell ref="Q27:U27"/>
    <mergeCell ref="Q37:U37"/>
    <mergeCell ref="Q44:U44"/>
    <mergeCell ref="Q19:T19"/>
    <mergeCell ref="Q21:T21"/>
    <mergeCell ref="Q25:U25"/>
    <mergeCell ref="A18:O18"/>
    <mergeCell ref="N23:N24"/>
    <mergeCell ref="O23:O24"/>
    <mergeCell ref="A19:A20"/>
    <mergeCell ref="B19:B20"/>
    <mergeCell ref="N19:N20"/>
    <mergeCell ref="O19:O20"/>
    <mergeCell ref="G1:O1"/>
    <mergeCell ref="G4:O4"/>
    <mergeCell ref="A14:O14"/>
    <mergeCell ref="N15:N16"/>
    <mergeCell ref="E15:E16"/>
    <mergeCell ref="D15:D16"/>
    <mergeCell ref="B15:B16"/>
    <mergeCell ref="G2:O2"/>
    <mergeCell ref="A11:O11"/>
    <mergeCell ref="A12:O12"/>
    <mergeCell ref="A13:O13"/>
    <mergeCell ref="F15:M15"/>
    <mergeCell ref="G3:O3"/>
    <mergeCell ref="M5:O8"/>
    <mergeCell ref="A101:O101"/>
    <mergeCell ref="A51:O51"/>
    <mergeCell ref="A37:O37"/>
    <mergeCell ref="O15:O16"/>
    <mergeCell ref="C15:C16"/>
    <mergeCell ref="A15:A16"/>
    <mergeCell ref="O40:O42"/>
    <mergeCell ref="A40:A42"/>
    <mergeCell ref="B40:B42"/>
    <mergeCell ref="A29:A30"/>
    <mergeCell ref="B29:B30"/>
    <mergeCell ref="A23:A24"/>
    <mergeCell ref="B23:B24"/>
    <mergeCell ref="N29:N30"/>
    <mergeCell ref="O29:O30"/>
    <mergeCell ref="A85:A87"/>
    <mergeCell ref="B85:B87"/>
    <mergeCell ref="O85:O87"/>
    <mergeCell ref="N85:N87"/>
    <mergeCell ref="A84:O84"/>
    <mergeCell ref="A31:A32"/>
    <mergeCell ref="B31:B32"/>
    <mergeCell ref="N31:N32"/>
    <mergeCell ref="O31:O32"/>
    <mergeCell ref="A79:O79"/>
    <mergeCell ref="A57:O57"/>
    <mergeCell ref="N40:N42"/>
    <mergeCell ref="A65:O65"/>
    <mergeCell ref="A72:O72"/>
  </mergeCells>
  <phoneticPr fontId="0" type="noConversion"/>
  <pageMargins left="0.23622047244094491" right="0" top="0.59055118110236227" bottom="0.35433070866141736" header="0.74803149606299213" footer="0.51181102362204722"/>
  <pageSetup paperSize="9" scale="84" fitToHeight="0" orientation="landscape" r:id="rId1"/>
  <headerFooter alignWithMargins="0"/>
  <rowBreaks count="4" manualBreakCount="4">
    <brk id="27" max="14" man="1"/>
    <brk id="45" max="14" man="1"/>
    <brk id="62" max="14" man="1"/>
    <brk id="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Oleg Leshchev</cp:lastModifiedBy>
  <cp:lastPrinted>2020-03-02T05:44:42Z</cp:lastPrinted>
  <dcterms:created xsi:type="dcterms:W3CDTF">1996-10-08T23:32:33Z</dcterms:created>
  <dcterms:modified xsi:type="dcterms:W3CDTF">2020-03-27T10:47:57Z</dcterms:modified>
</cp:coreProperties>
</file>